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lgarey\Documents\BY Stories\Art\"/>
    </mc:Choice>
  </mc:AlternateContent>
  <xr:revisionPtr revIDLastSave="0" documentId="13_ncr:1_{7B0DCD00-0F58-47C8-BAAA-B5FEA9DCC563}" xr6:coauthVersionLast="44" xr6:coauthVersionMax="44" xr10:uidLastSave="{00000000-0000-0000-0000-000000000000}"/>
  <bookViews>
    <workbookView xWindow="7725" yWindow="1605" windowWidth="22740" windowHeight="15435" xr2:uid="{00000000-000D-0000-FFFF-FFFF00000000}"/>
  </bookViews>
  <sheets>
    <sheet name="Intro" sheetId="7" r:id="rId1"/>
    <sheet name="suspect" sheetId="1" r:id="rId2"/>
    <sheet name="good" sheetId="2" r:id="rId3"/>
    <sheet name="great to good" sheetId="3" r:id="rId4"/>
    <sheet name="good to great" sheetId="4" r:id="rId5"/>
    <sheet name="great" sheetId="5" r:id="rId6"/>
    <sheet name="exceptional" sheetId="6" r:id="rId7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6" l="1"/>
  <c r="H33" i="6"/>
  <c r="I33" i="6" s="1"/>
  <c r="F23" i="6"/>
  <c r="F22" i="6"/>
  <c r="G24" i="6" s="1"/>
  <c r="B73" i="6" s="1"/>
  <c r="F20" i="6"/>
  <c r="F19" i="6"/>
  <c r="F18" i="6"/>
  <c r="F16" i="6"/>
  <c r="F15" i="6"/>
  <c r="F13" i="6"/>
  <c r="F12" i="6"/>
  <c r="F11" i="6"/>
  <c r="F10" i="6"/>
  <c r="F9" i="6"/>
  <c r="F8" i="6"/>
  <c r="F7" i="6"/>
  <c r="F6" i="6"/>
  <c r="F5" i="6"/>
  <c r="F4" i="6"/>
  <c r="G39" i="5"/>
  <c r="H33" i="5"/>
  <c r="H39" i="5" s="1"/>
  <c r="F23" i="5"/>
  <c r="F22" i="5"/>
  <c r="G24" i="5" s="1"/>
  <c r="B74" i="5" s="1"/>
  <c r="F20" i="5"/>
  <c r="F19" i="5"/>
  <c r="F18" i="5"/>
  <c r="F16" i="5"/>
  <c r="F15" i="5"/>
  <c r="F13" i="5"/>
  <c r="F12" i="5"/>
  <c r="F11" i="5"/>
  <c r="F10" i="5"/>
  <c r="F9" i="5"/>
  <c r="F8" i="5"/>
  <c r="F7" i="5"/>
  <c r="F6" i="5"/>
  <c r="F5" i="5"/>
  <c r="F4" i="5"/>
  <c r="G39" i="4"/>
  <c r="H33" i="4"/>
  <c r="H39" i="4" s="1"/>
  <c r="F23" i="4"/>
  <c r="F22" i="4"/>
  <c r="G24" i="4" s="1"/>
  <c r="B73" i="4" s="1"/>
  <c r="F20" i="4"/>
  <c r="F19" i="4"/>
  <c r="F18" i="4"/>
  <c r="F16" i="4"/>
  <c r="F15" i="4"/>
  <c r="F13" i="4"/>
  <c r="F12" i="4"/>
  <c r="F11" i="4"/>
  <c r="F10" i="4"/>
  <c r="F9" i="4"/>
  <c r="F8" i="4"/>
  <c r="F7" i="4"/>
  <c r="F6" i="4"/>
  <c r="F5" i="4"/>
  <c r="F4" i="4"/>
  <c r="G39" i="3"/>
  <c r="H33" i="3"/>
  <c r="H39" i="3" s="1"/>
  <c r="F23" i="3"/>
  <c r="F22" i="3"/>
  <c r="F20" i="3"/>
  <c r="F19" i="3"/>
  <c r="F18" i="3"/>
  <c r="F16" i="3"/>
  <c r="F15" i="3"/>
  <c r="F13" i="3"/>
  <c r="F12" i="3"/>
  <c r="F11" i="3"/>
  <c r="F10" i="3"/>
  <c r="F9" i="3"/>
  <c r="F8" i="3"/>
  <c r="F7" i="3"/>
  <c r="F6" i="3"/>
  <c r="F5" i="3"/>
  <c r="F4" i="3"/>
  <c r="G39" i="2"/>
  <c r="H33" i="2"/>
  <c r="I33" i="2" s="1"/>
  <c r="J33" i="2" s="1"/>
  <c r="F23" i="2"/>
  <c r="G24" i="2" s="1"/>
  <c r="B73" i="2" s="1"/>
  <c r="F22" i="2"/>
  <c r="F20" i="2"/>
  <c r="F19" i="2"/>
  <c r="F18" i="2"/>
  <c r="F16" i="2"/>
  <c r="F15" i="2"/>
  <c r="F13" i="2"/>
  <c r="F12" i="2"/>
  <c r="F11" i="2"/>
  <c r="F10" i="2"/>
  <c r="F9" i="2"/>
  <c r="F8" i="2"/>
  <c r="F7" i="2"/>
  <c r="F6" i="2"/>
  <c r="F5" i="2"/>
  <c r="F4" i="2"/>
  <c r="G39" i="1"/>
  <c r="H33" i="1"/>
  <c r="H39" i="1" s="1"/>
  <c r="F23" i="1"/>
  <c r="F22" i="1"/>
  <c r="G24" i="1" s="1"/>
  <c r="B73" i="1" s="1"/>
  <c r="F20" i="1"/>
  <c r="F19" i="1"/>
  <c r="F18" i="1"/>
  <c r="F16" i="1"/>
  <c r="F15" i="1"/>
  <c r="F13" i="1"/>
  <c r="F12" i="1"/>
  <c r="F11" i="1"/>
  <c r="F10" i="1"/>
  <c r="F9" i="1"/>
  <c r="F8" i="1"/>
  <c r="F7" i="1"/>
  <c r="F6" i="1"/>
  <c r="F5" i="1"/>
  <c r="F4" i="1"/>
  <c r="G14" i="5" l="1"/>
  <c r="G21" i="2"/>
  <c r="G24" i="3"/>
  <c r="B73" i="3" s="1"/>
  <c r="G14" i="1"/>
  <c r="G21" i="6"/>
  <c r="G21" i="1"/>
  <c r="G26" i="1" s="1"/>
  <c r="H39" i="6"/>
  <c r="J33" i="6"/>
  <c r="I39" i="6"/>
  <c r="G14" i="4"/>
  <c r="B71" i="4" s="1"/>
  <c r="G14" i="3"/>
  <c r="G26" i="3" s="1"/>
  <c r="G21" i="3"/>
  <c r="B72" i="3" s="1"/>
  <c r="H39" i="2"/>
  <c r="I39" i="2"/>
  <c r="G14" i="2"/>
  <c r="G26" i="2" s="1"/>
  <c r="J39" i="2"/>
  <c r="K33" i="2"/>
  <c r="B71" i="1"/>
  <c r="B72" i="5"/>
  <c r="I33" i="1"/>
  <c r="G21" i="4"/>
  <c r="I33" i="5"/>
  <c r="G21" i="5"/>
  <c r="G26" i="5" s="1"/>
  <c r="B72" i="6"/>
  <c r="B72" i="2"/>
  <c r="G14" i="6"/>
  <c r="I33" i="4"/>
  <c r="I33" i="3"/>
  <c r="B72" i="1" l="1"/>
  <c r="B71" i="2"/>
  <c r="G26" i="4"/>
  <c r="J39" i="6"/>
  <c r="K33" i="6"/>
  <c r="B71" i="3"/>
  <c r="G29" i="4"/>
  <c r="G28" i="4" s="1"/>
  <c r="G41" i="4" s="1"/>
  <c r="I39" i="3"/>
  <c r="J33" i="3"/>
  <c r="G29" i="1"/>
  <c r="G28" i="1" s="1"/>
  <c r="G29" i="3"/>
  <c r="G28" i="3" s="1"/>
  <c r="G29" i="5"/>
  <c r="G28" i="5" s="1"/>
  <c r="G29" i="2"/>
  <c r="G28" i="2" s="1"/>
  <c r="G30" i="2"/>
  <c r="I39" i="1"/>
  <c r="J33" i="1"/>
  <c r="I39" i="5"/>
  <c r="J33" i="5"/>
  <c r="B73" i="5"/>
  <c r="K39" i="2"/>
  <c r="L33" i="2"/>
  <c r="L39" i="2" s="1"/>
  <c r="B72" i="4"/>
  <c r="I39" i="4"/>
  <c r="J33" i="4"/>
  <c r="G26" i="6"/>
  <c r="B71" i="6"/>
  <c r="K39" i="6" l="1"/>
  <c r="L33" i="6"/>
  <c r="L39" i="6" s="1"/>
  <c r="B75" i="5"/>
  <c r="B77" i="5" s="1"/>
  <c r="G47" i="5"/>
  <c r="H28" i="5"/>
  <c r="G36" i="5"/>
  <c r="G37" i="5"/>
  <c r="G40" i="5" s="1"/>
  <c r="G45" i="5"/>
  <c r="G43" i="5"/>
  <c r="J39" i="5"/>
  <c r="K33" i="5"/>
  <c r="G30" i="3"/>
  <c r="J39" i="1"/>
  <c r="K33" i="1"/>
  <c r="G30" i="1"/>
  <c r="G37" i="3"/>
  <c r="G40" i="3" s="1"/>
  <c r="G45" i="3"/>
  <c r="B74" i="3"/>
  <c r="B76" i="3" s="1"/>
  <c r="G47" i="3"/>
  <c r="H28" i="3"/>
  <c r="G36" i="3"/>
  <c r="G43" i="3"/>
  <c r="G41" i="3"/>
  <c r="B74" i="1"/>
  <c r="B76" i="1" s="1"/>
  <c r="G47" i="1"/>
  <c r="H28" i="1"/>
  <c r="G45" i="1"/>
  <c r="G36" i="1"/>
  <c r="G37" i="1"/>
  <c r="G40" i="1" s="1"/>
  <c r="G43" i="1"/>
  <c r="G41" i="1"/>
  <c r="G29" i="6"/>
  <c r="G28" i="6" s="1"/>
  <c r="J39" i="4"/>
  <c r="K33" i="4"/>
  <c r="G45" i="2"/>
  <c r="B74" i="2"/>
  <c r="B76" i="2" s="1"/>
  <c r="G47" i="2"/>
  <c r="H28" i="2"/>
  <c r="G36" i="2"/>
  <c r="G37" i="2"/>
  <c r="G40" i="2" s="1"/>
  <c r="G41" i="2"/>
  <c r="G43" i="2"/>
  <c r="G36" i="4"/>
  <c r="G37" i="4"/>
  <c r="G40" i="4" s="1"/>
  <c r="G45" i="4"/>
  <c r="G47" i="4"/>
  <c r="B74" i="4"/>
  <c r="B76" i="4" s="1"/>
  <c r="H28" i="4"/>
  <c r="G43" i="4"/>
  <c r="G41" i="5"/>
  <c r="K33" i="3"/>
  <c r="J39" i="3"/>
  <c r="G30" i="5"/>
  <c r="G30" i="4"/>
  <c r="G30" i="6" l="1"/>
  <c r="H36" i="2"/>
  <c r="H24" i="2" s="1"/>
  <c r="C73" i="2" s="1"/>
  <c r="K39" i="3"/>
  <c r="L33" i="3"/>
  <c r="L39" i="3" s="1"/>
  <c r="H36" i="1"/>
  <c r="H24" i="1" s="1"/>
  <c r="C73" i="1" s="1"/>
  <c r="H36" i="4"/>
  <c r="H24" i="4" s="1"/>
  <c r="C73" i="4" s="1"/>
  <c r="G45" i="6"/>
  <c r="B74" i="6"/>
  <c r="B76" i="6" s="1"/>
  <c r="G47" i="6"/>
  <c r="H28" i="6"/>
  <c r="G36" i="6"/>
  <c r="G37" i="6"/>
  <c r="G40" i="6" s="1"/>
  <c r="G41" i="6"/>
  <c r="G43" i="6"/>
  <c r="K39" i="1"/>
  <c r="L33" i="1"/>
  <c r="L39" i="1" s="1"/>
  <c r="H36" i="5"/>
  <c r="H24" i="5" s="1"/>
  <c r="C74" i="5" s="1"/>
  <c r="H45" i="5"/>
  <c r="H36" i="3"/>
  <c r="H24" i="3" s="1"/>
  <c r="C73" i="3" s="1"/>
  <c r="K39" i="4"/>
  <c r="L33" i="4"/>
  <c r="L39" i="4" s="1"/>
  <c r="K39" i="5"/>
  <c r="L33" i="5"/>
  <c r="L39" i="5" s="1"/>
  <c r="H45" i="4" l="1"/>
  <c r="H45" i="2"/>
  <c r="H45" i="1"/>
  <c r="H36" i="6"/>
  <c r="H24" i="6" s="1"/>
  <c r="C73" i="6" s="1"/>
  <c r="H45" i="3"/>
  <c r="H45" i="6" l="1"/>
  <c r="H14" i="6"/>
  <c r="I14" i="6"/>
  <c r="J14" i="6"/>
  <c r="K14" i="6"/>
  <c r="L14" i="6"/>
  <c r="H21" i="6"/>
  <c r="I21" i="6"/>
  <c r="J21" i="6"/>
  <c r="K21" i="6"/>
  <c r="L21" i="6"/>
  <c r="I24" i="6"/>
  <c r="J24" i="6"/>
  <c r="K24" i="6"/>
  <c r="L24" i="6"/>
  <c r="H26" i="6"/>
  <c r="I26" i="6"/>
  <c r="J26" i="6"/>
  <c r="K26" i="6"/>
  <c r="L26" i="6"/>
  <c r="I28" i="6"/>
  <c r="J28" i="6"/>
  <c r="K28" i="6"/>
  <c r="L28" i="6"/>
  <c r="H29" i="6"/>
  <c r="I29" i="6"/>
  <c r="J29" i="6"/>
  <c r="K29" i="6"/>
  <c r="L29" i="6"/>
  <c r="H30" i="6"/>
  <c r="I30" i="6"/>
  <c r="J30" i="6"/>
  <c r="K30" i="6"/>
  <c r="L30" i="6"/>
  <c r="I36" i="6"/>
  <c r="J36" i="6"/>
  <c r="K36" i="6"/>
  <c r="L36" i="6"/>
  <c r="H37" i="6"/>
  <c r="I37" i="6"/>
  <c r="J37" i="6"/>
  <c r="K37" i="6"/>
  <c r="L37" i="6"/>
  <c r="H40" i="6"/>
  <c r="I40" i="6"/>
  <c r="J40" i="6"/>
  <c r="K40" i="6"/>
  <c r="L40" i="6"/>
  <c r="H41" i="6"/>
  <c r="I41" i="6"/>
  <c r="J41" i="6"/>
  <c r="K41" i="6"/>
  <c r="L41" i="6"/>
  <c r="H43" i="6"/>
  <c r="I43" i="6"/>
  <c r="J43" i="6"/>
  <c r="K43" i="6"/>
  <c r="L43" i="6"/>
  <c r="I45" i="6"/>
  <c r="J45" i="6"/>
  <c r="K45" i="6"/>
  <c r="L45" i="6"/>
  <c r="H47" i="6"/>
  <c r="I47" i="6"/>
  <c r="J47" i="6"/>
  <c r="K47" i="6"/>
  <c r="L47" i="6"/>
  <c r="C71" i="6"/>
  <c r="D71" i="6"/>
  <c r="E71" i="6"/>
  <c r="F71" i="6"/>
  <c r="G71" i="6"/>
  <c r="C72" i="6"/>
  <c r="D72" i="6"/>
  <c r="E72" i="6"/>
  <c r="F72" i="6"/>
  <c r="G72" i="6"/>
  <c r="D73" i="6"/>
  <c r="E73" i="6"/>
  <c r="F73" i="6"/>
  <c r="G73" i="6"/>
  <c r="C74" i="6"/>
  <c r="D74" i="6"/>
  <c r="E74" i="6"/>
  <c r="F74" i="6"/>
  <c r="G74" i="6"/>
  <c r="C76" i="6"/>
  <c r="D76" i="6"/>
  <c r="E76" i="6"/>
  <c r="F76" i="6"/>
  <c r="G76" i="6"/>
  <c r="H14" i="2"/>
  <c r="I14" i="2"/>
  <c r="J14" i="2"/>
  <c r="K14" i="2"/>
  <c r="L14" i="2"/>
  <c r="H21" i="2"/>
  <c r="I21" i="2"/>
  <c r="J21" i="2"/>
  <c r="K21" i="2"/>
  <c r="L21" i="2"/>
  <c r="I24" i="2"/>
  <c r="J24" i="2"/>
  <c r="K24" i="2"/>
  <c r="L24" i="2"/>
  <c r="H26" i="2"/>
  <c r="I26" i="2"/>
  <c r="J26" i="2"/>
  <c r="K26" i="2"/>
  <c r="L26" i="2"/>
  <c r="I28" i="2"/>
  <c r="J28" i="2"/>
  <c r="K28" i="2"/>
  <c r="L28" i="2"/>
  <c r="H29" i="2"/>
  <c r="I29" i="2"/>
  <c r="J29" i="2"/>
  <c r="K29" i="2"/>
  <c r="L29" i="2"/>
  <c r="H30" i="2"/>
  <c r="I30" i="2"/>
  <c r="J30" i="2"/>
  <c r="K30" i="2"/>
  <c r="L30" i="2"/>
  <c r="I36" i="2"/>
  <c r="J36" i="2"/>
  <c r="K36" i="2"/>
  <c r="L36" i="2"/>
  <c r="H37" i="2"/>
  <c r="I37" i="2"/>
  <c r="J37" i="2"/>
  <c r="K37" i="2"/>
  <c r="L37" i="2"/>
  <c r="H40" i="2"/>
  <c r="I40" i="2"/>
  <c r="J40" i="2"/>
  <c r="K40" i="2"/>
  <c r="L40" i="2"/>
  <c r="H41" i="2"/>
  <c r="I41" i="2"/>
  <c r="J41" i="2"/>
  <c r="K41" i="2"/>
  <c r="L41" i="2"/>
  <c r="H43" i="2"/>
  <c r="I43" i="2"/>
  <c r="J43" i="2"/>
  <c r="K43" i="2"/>
  <c r="L43" i="2"/>
  <c r="I45" i="2"/>
  <c r="J45" i="2"/>
  <c r="K45" i="2"/>
  <c r="L45" i="2"/>
  <c r="H47" i="2"/>
  <c r="I47" i="2"/>
  <c r="J47" i="2"/>
  <c r="K47" i="2"/>
  <c r="L47" i="2"/>
  <c r="C71" i="2"/>
  <c r="D71" i="2"/>
  <c r="E71" i="2"/>
  <c r="F71" i="2"/>
  <c r="G71" i="2"/>
  <c r="C72" i="2"/>
  <c r="D72" i="2"/>
  <c r="E72" i="2"/>
  <c r="F72" i="2"/>
  <c r="G72" i="2"/>
  <c r="D73" i="2"/>
  <c r="E73" i="2"/>
  <c r="F73" i="2"/>
  <c r="G73" i="2"/>
  <c r="C74" i="2"/>
  <c r="D74" i="2"/>
  <c r="E74" i="2"/>
  <c r="F74" i="2"/>
  <c r="G74" i="2"/>
  <c r="C76" i="2"/>
  <c r="D76" i="2"/>
  <c r="E76" i="2"/>
  <c r="F76" i="2"/>
  <c r="G76" i="2"/>
  <c r="H14" i="4"/>
  <c r="I14" i="4"/>
  <c r="J14" i="4"/>
  <c r="K14" i="4"/>
  <c r="L14" i="4"/>
  <c r="H21" i="4"/>
  <c r="I21" i="4"/>
  <c r="J21" i="4"/>
  <c r="K21" i="4"/>
  <c r="L21" i="4"/>
  <c r="I24" i="4"/>
  <c r="J24" i="4"/>
  <c r="K24" i="4"/>
  <c r="L24" i="4"/>
  <c r="H26" i="4"/>
  <c r="I26" i="4"/>
  <c r="J26" i="4"/>
  <c r="K26" i="4"/>
  <c r="L26" i="4"/>
  <c r="I28" i="4"/>
  <c r="J28" i="4"/>
  <c r="K28" i="4"/>
  <c r="L28" i="4"/>
  <c r="H29" i="4"/>
  <c r="I29" i="4"/>
  <c r="J29" i="4"/>
  <c r="K29" i="4"/>
  <c r="L29" i="4"/>
  <c r="H30" i="4"/>
  <c r="I30" i="4"/>
  <c r="J30" i="4"/>
  <c r="K30" i="4"/>
  <c r="L30" i="4"/>
  <c r="I36" i="4"/>
  <c r="J36" i="4"/>
  <c r="K36" i="4"/>
  <c r="L36" i="4"/>
  <c r="H37" i="4"/>
  <c r="I37" i="4"/>
  <c r="J37" i="4"/>
  <c r="K37" i="4"/>
  <c r="L37" i="4"/>
  <c r="H40" i="4"/>
  <c r="I40" i="4"/>
  <c r="J40" i="4"/>
  <c r="K40" i="4"/>
  <c r="L40" i="4"/>
  <c r="H41" i="4"/>
  <c r="I41" i="4"/>
  <c r="J41" i="4"/>
  <c r="K41" i="4"/>
  <c r="L41" i="4"/>
  <c r="H43" i="4"/>
  <c r="I43" i="4"/>
  <c r="J43" i="4"/>
  <c r="K43" i="4"/>
  <c r="L43" i="4"/>
  <c r="I45" i="4"/>
  <c r="J45" i="4"/>
  <c r="K45" i="4"/>
  <c r="L45" i="4"/>
  <c r="H47" i="4"/>
  <c r="I47" i="4"/>
  <c r="J47" i="4"/>
  <c r="K47" i="4"/>
  <c r="L47" i="4"/>
  <c r="C71" i="4"/>
  <c r="D71" i="4"/>
  <c r="E71" i="4"/>
  <c r="F71" i="4"/>
  <c r="G71" i="4"/>
  <c r="C72" i="4"/>
  <c r="D72" i="4"/>
  <c r="E72" i="4"/>
  <c r="F72" i="4"/>
  <c r="G72" i="4"/>
  <c r="D73" i="4"/>
  <c r="E73" i="4"/>
  <c r="F73" i="4"/>
  <c r="G73" i="4"/>
  <c r="C74" i="4"/>
  <c r="D74" i="4"/>
  <c r="E74" i="4"/>
  <c r="F74" i="4"/>
  <c r="G74" i="4"/>
  <c r="C76" i="4"/>
  <c r="D76" i="4"/>
  <c r="E76" i="4"/>
  <c r="F76" i="4"/>
  <c r="G76" i="4"/>
  <c r="H14" i="5"/>
  <c r="I14" i="5"/>
  <c r="J14" i="5"/>
  <c r="K14" i="5"/>
  <c r="L14" i="5"/>
  <c r="H21" i="5"/>
  <c r="I21" i="5"/>
  <c r="J21" i="5"/>
  <c r="K21" i="5"/>
  <c r="L21" i="5"/>
  <c r="I24" i="5"/>
  <c r="J24" i="5"/>
  <c r="K24" i="5"/>
  <c r="L24" i="5"/>
  <c r="H26" i="5"/>
  <c r="I26" i="5"/>
  <c r="J26" i="5"/>
  <c r="K26" i="5"/>
  <c r="L26" i="5"/>
  <c r="I28" i="5"/>
  <c r="J28" i="5"/>
  <c r="K28" i="5"/>
  <c r="L28" i="5"/>
  <c r="H29" i="5"/>
  <c r="I29" i="5"/>
  <c r="J29" i="5"/>
  <c r="K29" i="5"/>
  <c r="L29" i="5"/>
  <c r="H30" i="5"/>
  <c r="I30" i="5"/>
  <c r="J30" i="5"/>
  <c r="K30" i="5"/>
  <c r="L30" i="5"/>
  <c r="I36" i="5"/>
  <c r="J36" i="5"/>
  <c r="K36" i="5"/>
  <c r="L36" i="5"/>
  <c r="H37" i="5"/>
  <c r="I37" i="5"/>
  <c r="J37" i="5"/>
  <c r="K37" i="5"/>
  <c r="L37" i="5"/>
  <c r="H40" i="5"/>
  <c r="I40" i="5"/>
  <c r="J40" i="5"/>
  <c r="K40" i="5"/>
  <c r="L40" i="5"/>
  <c r="H41" i="5"/>
  <c r="I41" i="5"/>
  <c r="J41" i="5"/>
  <c r="K41" i="5"/>
  <c r="L41" i="5"/>
  <c r="H43" i="5"/>
  <c r="I43" i="5"/>
  <c r="J43" i="5"/>
  <c r="K43" i="5"/>
  <c r="L43" i="5"/>
  <c r="I45" i="5"/>
  <c r="J45" i="5"/>
  <c r="K45" i="5"/>
  <c r="L45" i="5"/>
  <c r="H47" i="5"/>
  <c r="I47" i="5"/>
  <c r="J47" i="5"/>
  <c r="K47" i="5"/>
  <c r="L47" i="5"/>
  <c r="C72" i="5"/>
  <c r="D72" i="5"/>
  <c r="E72" i="5"/>
  <c r="F72" i="5"/>
  <c r="G72" i="5"/>
  <c r="C73" i="5"/>
  <c r="D73" i="5"/>
  <c r="E73" i="5"/>
  <c r="F73" i="5"/>
  <c r="G73" i="5"/>
  <c r="D74" i="5"/>
  <c r="E74" i="5"/>
  <c r="F74" i="5"/>
  <c r="G74" i="5"/>
  <c r="C75" i="5"/>
  <c r="D75" i="5"/>
  <c r="E75" i="5"/>
  <c r="F75" i="5"/>
  <c r="G75" i="5"/>
  <c r="C77" i="5"/>
  <c r="D77" i="5"/>
  <c r="E77" i="5"/>
  <c r="F77" i="5"/>
  <c r="G77" i="5"/>
  <c r="H14" i="3"/>
  <c r="I14" i="3"/>
  <c r="J14" i="3"/>
  <c r="K14" i="3"/>
  <c r="L14" i="3"/>
  <c r="H21" i="3"/>
  <c r="I21" i="3"/>
  <c r="J21" i="3"/>
  <c r="K21" i="3"/>
  <c r="L21" i="3"/>
  <c r="I24" i="3"/>
  <c r="J24" i="3"/>
  <c r="K24" i="3"/>
  <c r="L24" i="3"/>
  <c r="H26" i="3"/>
  <c r="I26" i="3"/>
  <c r="J26" i="3"/>
  <c r="K26" i="3"/>
  <c r="L26" i="3"/>
  <c r="I28" i="3"/>
  <c r="J28" i="3"/>
  <c r="K28" i="3"/>
  <c r="L28" i="3"/>
  <c r="H29" i="3"/>
  <c r="I29" i="3"/>
  <c r="J29" i="3"/>
  <c r="K29" i="3"/>
  <c r="L29" i="3"/>
  <c r="H30" i="3"/>
  <c r="I30" i="3"/>
  <c r="J30" i="3"/>
  <c r="K30" i="3"/>
  <c r="L30" i="3"/>
  <c r="I36" i="3"/>
  <c r="J36" i="3"/>
  <c r="K36" i="3"/>
  <c r="L36" i="3"/>
  <c r="H37" i="3"/>
  <c r="I37" i="3"/>
  <c r="J37" i="3"/>
  <c r="K37" i="3"/>
  <c r="L37" i="3"/>
  <c r="H40" i="3"/>
  <c r="I40" i="3"/>
  <c r="J40" i="3"/>
  <c r="K40" i="3"/>
  <c r="L40" i="3"/>
  <c r="H41" i="3"/>
  <c r="I41" i="3"/>
  <c r="J41" i="3"/>
  <c r="K41" i="3"/>
  <c r="L41" i="3"/>
  <c r="H43" i="3"/>
  <c r="I43" i="3"/>
  <c r="J43" i="3"/>
  <c r="K43" i="3"/>
  <c r="L43" i="3"/>
  <c r="I45" i="3"/>
  <c r="J45" i="3"/>
  <c r="K45" i="3"/>
  <c r="L45" i="3"/>
  <c r="H47" i="3"/>
  <c r="I47" i="3"/>
  <c r="J47" i="3"/>
  <c r="K47" i="3"/>
  <c r="L47" i="3"/>
  <c r="C71" i="3"/>
  <c r="D71" i="3"/>
  <c r="E71" i="3"/>
  <c r="F71" i="3"/>
  <c r="G71" i="3"/>
  <c r="C72" i="3"/>
  <c r="D72" i="3"/>
  <c r="E72" i="3"/>
  <c r="F72" i="3"/>
  <c r="G72" i="3"/>
  <c r="D73" i="3"/>
  <c r="E73" i="3"/>
  <c r="F73" i="3"/>
  <c r="G73" i="3"/>
  <c r="C74" i="3"/>
  <c r="D74" i="3"/>
  <c r="E74" i="3"/>
  <c r="F74" i="3"/>
  <c r="G74" i="3"/>
  <c r="C76" i="3"/>
  <c r="D76" i="3"/>
  <c r="E76" i="3"/>
  <c r="F76" i="3"/>
  <c r="G76" i="3"/>
  <c r="H14" i="1"/>
  <c r="I14" i="1"/>
  <c r="J14" i="1"/>
  <c r="K14" i="1"/>
  <c r="L14" i="1"/>
  <c r="H21" i="1"/>
  <c r="I21" i="1"/>
  <c r="J21" i="1"/>
  <c r="K21" i="1"/>
  <c r="L21" i="1"/>
  <c r="I24" i="1"/>
  <c r="J24" i="1"/>
  <c r="K24" i="1"/>
  <c r="L24" i="1"/>
  <c r="H26" i="1"/>
  <c r="I26" i="1"/>
  <c r="J26" i="1"/>
  <c r="K26" i="1"/>
  <c r="L26" i="1"/>
  <c r="I28" i="1"/>
  <c r="J28" i="1"/>
  <c r="K28" i="1"/>
  <c r="L28" i="1"/>
  <c r="H29" i="1"/>
  <c r="I29" i="1"/>
  <c r="J29" i="1"/>
  <c r="K29" i="1"/>
  <c r="L29" i="1"/>
  <c r="H30" i="1"/>
  <c r="I30" i="1"/>
  <c r="J30" i="1"/>
  <c r="K30" i="1"/>
  <c r="L30" i="1"/>
  <c r="I36" i="1"/>
  <c r="J36" i="1"/>
  <c r="K36" i="1"/>
  <c r="L36" i="1"/>
  <c r="H37" i="1"/>
  <c r="I37" i="1"/>
  <c r="J37" i="1"/>
  <c r="K37" i="1"/>
  <c r="L37" i="1"/>
  <c r="H40" i="1"/>
  <c r="I40" i="1"/>
  <c r="J40" i="1"/>
  <c r="K40" i="1"/>
  <c r="L40" i="1"/>
  <c r="H41" i="1"/>
  <c r="I41" i="1"/>
  <c r="J41" i="1"/>
  <c r="K41" i="1"/>
  <c r="L41" i="1"/>
  <c r="H43" i="1"/>
  <c r="I43" i="1"/>
  <c r="J43" i="1"/>
  <c r="K43" i="1"/>
  <c r="L43" i="1"/>
  <c r="I45" i="1"/>
  <c r="J45" i="1"/>
  <c r="K45" i="1"/>
  <c r="L45" i="1"/>
  <c r="H47" i="1"/>
  <c r="I47" i="1"/>
  <c r="J47" i="1"/>
  <c r="K47" i="1"/>
  <c r="L47" i="1"/>
  <c r="C71" i="1"/>
  <c r="D71" i="1"/>
  <c r="E71" i="1"/>
  <c r="F71" i="1"/>
  <c r="G71" i="1"/>
  <c r="C72" i="1"/>
  <c r="D72" i="1"/>
  <c r="E72" i="1"/>
  <c r="F72" i="1"/>
  <c r="G72" i="1"/>
  <c r="D73" i="1"/>
  <c r="E73" i="1"/>
  <c r="F73" i="1"/>
  <c r="G73" i="1"/>
  <c r="C74" i="1"/>
  <c r="D74" i="1"/>
  <c r="E74" i="1"/>
  <c r="F74" i="1"/>
  <c r="G74" i="1"/>
  <c r="C76" i="1"/>
  <c r="D76" i="1"/>
  <c r="E76" i="1"/>
  <c r="F76" i="1"/>
  <c r="G76" i="1"/>
</calcChain>
</file>

<file path=xl/sharedStrings.xml><?xml version="1.0" encoding="utf-8"?>
<sst xmlns="http://schemas.openxmlformats.org/spreadsheetml/2006/main" count="354" uniqueCount="56">
  <si>
    <t>Year 1</t>
  </si>
  <si>
    <t>Year 2</t>
  </si>
  <si>
    <t>Year 3</t>
  </si>
  <si>
    <t>Year 4</t>
  </si>
  <si>
    <t>Year 5</t>
  </si>
  <si>
    <t>Year 6</t>
  </si>
  <si>
    <t>Title / Area</t>
  </si>
  <si>
    <t>Overhead</t>
  </si>
  <si>
    <t>Multiple</t>
  </si>
  <si>
    <t>Annual Cost</t>
  </si>
  <si>
    <t>CEO</t>
  </si>
  <si>
    <t>CFO</t>
  </si>
  <si>
    <t>CTO</t>
  </si>
  <si>
    <t>Admin</t>
  </si>
  <si>
    <t>IT Admin</t>
  </si>
  <si>
    <t>Annual business costs</t>
  </si>
  <si>
    <t>Annual Services</t>
  </si>
  <si>
    <t>Dev Team Employees</t>
  </si>
  <si>
    <t>Dev Team tools</t>
  </si>
  <si>
    <t>Total Overhead</t>
  </si>
  <si>
    <t>Sales Team Employees</t>
  </si>
  <si>
    <t>Sales Team tools, T&amp;E</t>
  </si>
  <si>
    <t>Marketing Employees</t>
  </si>
  <si>
    <t>Ad / Creative / SEM / Content</t>
  </si>
  <si>
    <t xml:space="preserve">Tools </t>
  </si>
  <si>
    <t>Total Cost of Acquired Customers</t>
  </si>
  <si>
    <t>Cloud Services</t>
  </si>
  <si>
    <t>Support</t>
  </si>
  <si>
    <t>Total Production Cost</t>
  </si>
  <si>
    <t>Burn</t>
  </si>
  <si>
    <t>Total Revenue</t>
  </si>
  <si>
    <t>New ARR</t>
  </si>
  <si>
    <t>Actual Burn Multiple</t>
  </si>
  <si>
    <t>Average Spend per customer</t>
  </si>
  <si>
    <t>Total Customers Retained</t>
  </si>
  <si>
    <t>Total New Customers needed</t>
  </si>
  <si>
    <t>Expected CAC</t>
  </si>
  <si>
    <t>actual CAC</t>
  </si>
  <si>
    <t>CAC</t>
  </si>
  <si>
    <t>CAC as % of Revenue</t>
  </si>
  <si>
    <t>Overhead as % of Revenue</t>
  </si>
  <si>
    <t>Gross Margin</t>
  </si>
  <si>
    <t>Net Margin</t>
  </si>
  <si>
    <t>Sales and Marketing as % of Revenue</t>
  </si>
  <si>
    <t>Desired Burn Multiple</t>
  </si>
  <si>
    <t>Annual Churn rate</t>
  </si>
  <si>
    <t>Margin / new customer</t>
  </si>
  <si>
    <t>Annual increase in revenue per customer</t>
  </si>
  <si>
    <t>Overhead Ratio</t>
  </si>
  <si>
    <t>New CAC as % of Year 1 customer revenue</t>
  </si>
  <si>
    <t>Total Corporate Overhead</t>
  </si>
  <si>
    <t>Total Customer Acquisition Cost</t>
  </si>
  <si>
    <t>Net Profit</t>
  </si>
  <si>
    <t>CAC as % of Year 1 customer revenue</t>
  </si>
  <si>
    <t>valuation @ 20x earnings</t>
  </si>
  <si>
    <t>Year 1 actuals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</si>
</sst>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&quot;$&quot;#,##0.00"/>
  </numFmts>
  <fonts count="9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rgb="FF4285F4"/>
      <name val="Inconsolata"/>
    </font>
    <font>
      <sz val="10"/>
      <name val="Arial"/>
    </font>
    <font>
      <b/>
      <sz val="10"/>
      <name val="Arial"/>
    </font>
    <font>
      <sz val="10"/>
      <name val="Arial"/>
    </font>
    <font>
      <sz val="11"/>
      <color rgb="FF00000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0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0" fontId="1" fillId="2" borderId="0" xfId="0" applyFont="1" applyFill="1"/>
    <xf numFmtId="164" fontId="1" fillId="2" borderId="0" xfId="0" applyNumberFormat="1" applyFont="1" applyFill="1" applyAlignment="1"/>
    <xf numFmtId="9" fontId="1" fillId="2" borderId="0" xfId="0" applyNumberFormat="1" applyFont="1" applyFill="1" applyAlignment="1"/>
    <xf numFmtId="164" fontId="1" fillId="2" borderId="0" xfId="0" applyNumberFormat="1" applyFont="1" applyFill="1"/>
    <xf numFmtId="10" fontId="1" fillId="2" borderId="0" xfId="0" applyNumberFormat="1" applyFont="1" applyFill="1" applyAlignment="1"/>
    <xf numFmtId="0" fontId="2" fillId="2" borderId="0" xfId="0" applyFont="1" applyFill="1" applyAlignment="1"/>
    <xf numFmtId="0" fontId="2" fillId="2" borderId="0" xfId="0" applyFont="1" applyFill="1"/>
    <xf numFmtId="164" fontId="2" fillId="0" borderId="0" xfId="0" applyNumberFormat="1" applyFont="1"/>
    <xf numFmtId="0" fontId="2" fillId="0" borderId="0" xfId="0" applyFont="1"/>
    <xf numFmtId="0" fontId="2" fillId="2" borderId="1" xfId="0" applyFont="1" applyFill="1" applyBorder="1" applyAlignment="1"/>
    <xf numFmtId="0" fontId="1" fillId="2" borderId="0" xfId="0" applyFont="1" applyFill="1" applyAlignment="1"/>
    <xf numFmtId="16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/>
    <xf numFmtId="0" fontId="2" fillId="0" borderId="0" xfId="0" applyFont="1"/>
    <xf numFmtId="164" fontId="2" fillId="0" borderId="0" xfId="0" applyNumberFormat="1" applyFont="1"/>
    <xf numFmtId="0" fontId="2" fillId="3" borderId="0" xfId="0" applyFont="1" applyFill="1" applyAlignment="1"/>
    <xf numFmtId="0" fontId="2" fillId="3" borderId="0" xfId="0" applyFont="1" applyFill="1"/>
    <xf numFmtId="164" fontId="2" fillId="3" borderId="0" xfId="0" applyNumberFormat="1" applyFont="1" applyFill="1"/>
    <xf numFmtId="164" fontId="2" fillId="3" borderId="0" xfId="0" applyNumberFormat="1" applyFont="1" applyFill="1" applyAlignment="1"/>
    <xf numFmtId="0" fontId="1" fillId="3" borderId="0" xfId="0" applyFont="1" applyFill="1" applyAlignment="1"/>
    <xf numFmtId="0" fontId="1" fillId="3" borderId="0" xfId="0" applyFont="1" applyFill="1"/>
    <xf numFmtId="164" fontId="1" fillId="3" borderId="0" xfId="0" applyNumberFormat="1" applyFont="1" applyFill="1"/>
    <xf numFmtId="4" fontId="1" fillId="0" borderId="0" xfId="0" applyNumberFormat="1" applyFont="1"/>
    <xf numFmtId="164" fontId="1" fillId="0" borderId="0" xfId="0" applyNumberFormat="1" applyFont="1"/>
    <xf numFmtId="4" fontId="1" fillId="0" borderId="0" xfId="0" applyNumberFormat="1" applyFont="1" applyAlignment="1"/>
    <xf numFmtId="4" fontId="1" fillId="4" borderId="0" xfId="0" applyNumberFormat="1" applyFont="1" applyFill="1" applyAlignment="1"/>
    <xf numFmtId="4" fontId="2" fillId="0" borderId="0" xfId="0" applyNumberFormat="1" applyFont="1" applyAlignment="1">
      <alignment horizontal="right"/>
    </xf>
    <xf numFmtId="0" fontId="3" fillId="4" borderId="0" xfId="0" applyFont="1" applyFill="1" applyAlignment="1"/>
    <xf numFmtId="165" fontId="1" fillId="0" borderId="0" xfId="0" applyNumberFormat="1" applyFont="1"/>
    <xf numFmtId="10" fontId="1" fillId="0" borderId="0" xfId="0" applyNumberFormat="1" applyFont="1"/>
    <xf numFmtId="10" fontId="1" fillId="0" borderId="0" xfId="0" applyNumberFormat="1" applyFont="1" applyAlignment="1"/>
    <xf numFmtId="165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/>
    <xf numFmtId="0" fontId="4" fillId="0" borderId="0" xfId="0" applyFont="1" applyAlignment="1"/>
    <xf numFmtId="0" fontId="5" fillId="0" borderId="0" xfId="0" applyFont="1" applyAlignment="1"/>
    <xf numFmtId="164" fontId="2" fillId="0" borderId="0" xfId="0" applyNumberFormat="1" applyFont="1" applyAlignment="1"/>
    <xf numFmtId="164" fontId="2" fillId="0" borderId="0" xfId="0" applyNumberFormat="1" applyFont="1"/>
    <xf numFmtId="0" fontId="5" fillId="3" borderId="0" xfId="0" applyFont="1" applyFill="1" applyAlignment="1"/>
    <xf numFmtId="0" fontId="4" fillId="2" borderId="0" xfId="0" applyFont="1" applyFill="1" applyAlignment="1"/>
    <xf numFmtId="164" fontId="2" fillId="3" borderId="0" xfId="0" applyNumberFormat="1" applyFont="1" applyFill="1"/>
    <xf numFmtId="10" fontId="4" fillId="2" borderId="0" xfId="0" applyNumberFormat="1" applyFont="1" applyFill="1" applyAlignment="1"/>
    <xf numFmtId="9" fontId="4" fillId="2" borderId="0" xfId="0" applyNumberFormat="1" applyFont="1" applyFill="1" applyAlignment="1"/>
    <xf numFmtId="0" fontId="5" fillId="0" borderId="0" xfId="0" applyFont="1"/>
    <xf numFmtId="164" fontId="1" fillId="0" borderId="0" xfId="0" applyNumberFormat="1" applyFont="1" applyAlignment="1"/>
    <xf numFmtId="164" fontId="1" fillId="0" borderId="0" xfId="0" applyNumberFormat="1" applyFont="1"/>
    <xf numFmtId="164" fontId="1" fillId="0" borderId="0" xfId="0" applyNumberFormat="1" applyFont="1" applyAlignment="1"/>
    <xf numFmtId="165" fontId="6" fillId="0" borderId="0" xfId="0" applyNumberFormat="1" applyFont="1" applyAlignment="1"/>
    <xf numFmtId="164" fontId="1" fillId="0" borderId="0" xfId="0" applyNumberFormat="1" applyFont="1" applyAlignment="1">
      <alignment horizontal="right"/>
    </xf>
    <xf numFmtId="164" fontId="4" fillId="2" borderId="0" xfId="0" applyNumberFormat="1" applyFont="1" applyFill="1" applyAlignment="1"/>
    <xf numFmtId="164" fontId="1" fillId="0" borderId="0" xfId="0" applyNumberFormat="1" applyFont="1" applyAlignment="1"/>
    <xf numFmtId="4" fontId="2" fillId="0" borderId="0" xfId="0" applyNumberFormat="1" applyFont="1" applyAlignment="1"/>
    <xf numFmtId="0" fontId="7" fillId="0" borderId="0" xfId="0" applyFont="1" applyAlignment="1">
      <alignment vertical="center"/>
    </xf>
    <xf numFmtId="0" fontId="8" fillId="0" borderId="0" xfId="1" applyAlignment="1">
      <alignment vertical="center"/>
    </xf>
  </cellXfs>
  <cellStyles count="2">
    <cellStyle name="Hyperlink" xfId="1" builtinId="8"/>
    <cellStyle name="Normal" xfId="0" builtinId="0"/>
  </cellStyles>
  <dxfs count="30"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</dxfs>
  <tableStyles count="12">
    <tableStyle name="ok-style" pivot="0" count="2" xr9:uid="{00000000-0011-0000-FFFF-FFFF00000000}">
      <tableStyleElement type="firstRowStripe" dxfId="29"/>
      <tableStyleElement type="secondRowStripe" dxfId="28"/>
    </tableStyle>
    <tableStyle name="ok-style 2" pivot="0" count="3" xr9:uid="{00000000-0011-0000-FFFF-FFFF01000000}">
      <tableStyleElement type="headerRow" dxfId="27"/>
      <tableStyleElement type="firstRowStripe" dxfId="26"/>
      <tableStyleElement type="secondRowStripe" dxfId="25"/>
    </tableStyle>
    <tableStyle name="suspect-style" pivot="0" count="2" xr9:uid="{00000000-0011-0000-FFFF-FFFF02000000}">
      <tableStyleElement type="firstRowStripe" dxfId="24"/>
      <tableStyleElement type="secondRowStripe" dxfId="23"/>
    </tableStyle>
    <tableStyle name="good to ok-style" pivot="0" count="2" xr9:uid="{00000000-0011-0000-FFFF-FFFF03000000}">
      <tableStyleElement type="firstRowStripe" dxfId="22"/>
      <tableStyleElement type="secondRowStripe" dxfId="21"/>
    </tableStyle>
    <tableStyle name="good to ok-style 2" pivot="0" count="3" xr9:uid="{00000000-0011-0000-FFFF-FFFF04000000}">
      <tableStyleElement type="headerRow" dxfId="20"/>
      <tableStyleElement type="firstRowStripe" dxfId="19"/>
      <tableStyleElement type="secondRowStripe" dxfId="18"/>
    </tableStyle>
    <tableStyle name="suspect-style 2" pivot="0" count="3" xr9:uid="{00000000-0011-0000-FFFF-FFFF05000000}">
      <tableStyleElement type="headerRow" dxfId="17"/>
      <tableStyleElement type="firstRowStripe" dxfId="16"/>
      <tableStyleElement type="secondRowStripe" dxfId="15"/>
    </tableStyle>
    <tableStyle name="ok to good-style" pivot="0" count="2" xr9:uid="{00000000-0011-0000-FFFF-FFFF06000000}">
      <tableStyleElement type="firstRowStripe" dxfId="14"/>
      <tableStyleElement type="secondRowStripe" dxfId="13"/>
    </tableStyle>
    <tableStyle name="ok to good-style 2" pivot="0" count="3" xr9:uid="{00000000-0011-0000-FFFF-FFFF07000000}">
      <tableStyleElement type="headerRow" dxfId="12"/>
      <tableStyleElement type="firstRowStripe" dxfId="11"/>
      <tableStyleElement type="secondRowStripe" dxfId="10"/>
    </tableStyle>
    <tableStyle name="great-style" pivot="0" count="2" xr9:uid="{00000000-0011-0000-FFFF-FFFF08000000}">
      <tableStyleElement type="firstRowStripe" dxfId="9"/>
      <tableStyleElement type="secondRowStripe" dxfId="8"/>
    </tableStyle>
    <tableStyle name="great-style 2" pivot="0" count="3" xr9:uid="{00000000-0011-0000-FFFF-FFFF09000000}">
      <tableStyleElement type="headerRow" dxfId="7"/>
      <tableStyleElement type="firstRowStripe" dxfId="6"/>
      <tableStyleElement type="secondRowStripe" dxfId="5"/>
    </tableStyle>
    <tableStyle name="exceptional-style" pivot="0" count="2" xr9:uid="{00000000-0011-0000-FFFF-FFFF0A000000}">
      <tableStyleElement type="firstRowStripe" dxfId="4"/>
      <tableStyleElement type="secondRowStripe" dxfId="3"/>
    </tableStyle>
    <tableStyle name="exceptional-style 2" pivot="0" count="3" xr9:uid="{00000000-0011-0000-FFFF-FFFF0B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SaaS Burn Multiple 'Suspect'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1"/>
        <c:ser>
          <c:idx val="1"/>
          <c:order val="1"/>
          <c:tx>
            <c:strRef>
              <c:f>suspect!$A$71</c:f>
              <c:strCache>
                <c:ptCount val="1"/>
                <c:pt idx="0">
                  <c:v>Total Corporate Overhead</c:v>
                </c:pt>
              </c:strCache>
            </c:strRef>
          </c:tx>
          <c:spPr>
            <a:solidFill>
              <a:srgbClr val="EA4335"/>
            </a:solidFill>
            <a:ln>
              <a:noFill/>
            </a:ln>
            <a:effectLst/>
          </c:spPr>
          <c:invertIfNegative val="1"/>
          <c:val>
            <c:numRef>
              <c:f>suspect!$B$71:$G$71</c:f>
              <c:numCache>
                <c:formatCode>"$"#,##0</c:formatCode>
                <c:ptCount val="6"/>
                <c:pt idx="0">
                  <c:v>2808500</c:v>
                </c:pt>
                <c:pt idx="1">
                  <c:v>3171820.3125</c:v>
                </c:pt>
                <c:pt idx="2">
                  <c:v>3592056.2744140625</c:v>
                </c:pt>
                <c:pt idx="3">
                  <c:v>4077830.9833526611</c:v>
                </c:pt>
                <c:pt idx="4">
                  <c:v>4638887.2320520878</c:v>
                </c:pt>
                <c:pt idx="5">
                  <c:v>5287470.2345561571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0-5C38-40D3-B355-B88CA4923838}"/>
            </c:ext>
          </c:extLst>
        </c:ser>
        <c:ser>
          <c:idx val="2"/>
          <c:order val="2"/>
          <c:tx>
            <c:strRef>
              <c:f>suspect!$A$72</c:f>
              <c:strCache>
                <c:ptCount val="1"/>
                <c:pt idx="0">
                  <c:v>Total Customer Acquisition Cost</c:v>
                </c:pt>
              </c:strCache>
            </c:strRef>
          </c:tx>
          <c:spPr>
            <a:solidFill>
              <a:srgbClr val="FBBC04"/>
            </a:solidFill>
            <a:ln>
              <a:noFill/>
            </a:ln>
            <a:effectLst/>
          </c:spPr>
          <c:invertIfNegative val="1"/>
          <c:val>
            <c:numRef>
              <c:f>suspect!$B$72:$G$72</c:f>
              <c:numCache>
                <c:formatCode>"$"#,##0</c:formatCode>
                <c:ptCount val="6"/>
                <c:pt idx="0">
                  <c:v>1215000</c:v>
                </c:pt>
                <c:pt idx="1">
                  <c:v>1650984.375</c:v>
                </c:pt>
                <c:pt idx="2">
                  <c:v>1719283.154296875</c:v>
                </c:pt>
                <c:pt idx="3">
                  <c:v>1797929.6507263184</c:v>
                </c:pt>
                <c:pt idx="4">
                  <c:v>1888267.498439312</c:v>
                </c:pt>
                <c:pt idx="5">
                  <c:v>1993299.6030048835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1-5C38-40D3-B355-B88CA4923838}"/>
            </c:ext>
          </c:extLst>
        </c:ser>
        <c:ser>
          <c:idx val="3"/>
          <c:order val="3"/>
          <c:tx>
            <c:strRef>
              <c:f>suspect!$A$73</c:f>
              <c:strCache>
                <c:ptCount val="1"/>
                <c:pt idx="0">
                  <c:v>Total Production Cost</c:v>
                </c:pt>
              </c:strCache>
            </c:strRef>
          </c:tx>
          <c:spPr>
            <a:solidFill>
              <a:srgbClr val="0D5BDC"/>
            </a:solidFill>
            <a:ln>
              <a:noFill/>
            </a:ln>
            <a:effectLst/>
          </c:spPr>
          <c:invertIfNegative val="1"/>
          <c:val>
            <c:numRef>
              <c:f>suspect!$B$73:$G$73</c:f>
              <c:numCache>
                <c:formatCode>"$"#,##0</c:formatCode>
                <c:ptCount val="6"/>
                <c:pt idx="0">
                  <c:v>708000</c:v>
                </c:pt>
                <c:pt idx="1">
                  <c:v>627000</c:v>
                </c:pt>
                <c:pt idx="2">
                  <c:v>992200</c:v>
                </c:pt>
                <c:pt idx="3">
                  <c:v>1410860</c:v>
                </c:pt>
                <c:pt idx="4">
                  <c:v>1888689.0000000002</c:v>
                </c:pt>
                <c:pt idx="5">
                  <c:v>2447975.2000000011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>
                    <a:noFill/>
                  </a:ln>
                  <a:effectLst/>
                </c14:spPr>
              </c14:invertSolidFillFmt>
            </c:ext>
            <c:ext xmlns:c16="http://schemas.microsoft.com/office/drawing/2014/chart" uri="{C3380CC4-5D6E-409C-BE32-E72D297353CC}">
              <c16:uniqueId val="{00000002-5C38-40D3-B355-B88CA4923838}"/>
            </c:ext>
          </c:extLst>
        </c:ser>
        <c:ser>
          <c:idx val="4"/>
          <c:order val="4"/>
          <c:tx>
            <c:strRef>
              <c:f>suspect!$A$74</c:f>
              <c:strCache>
                <c:ptCount val="1"/>
                <c:pt idx="0">
                  <c:v>Net Profit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suspect!$B$74:$G$74</c:f>
              <c:numCache>
                <c:formatCode>"$"#,##0</c:formatCode>
                <c:ptCount val="6"/>
                <c:pt idx="0">
                  <c:v>-3154333.333333333</c:v>
                </c:pt>
                <c:pt idx="1">
                  <c:v>-2295471.3541666665</c:v>
                </c:pt>
                <c:pt idx="2">
                  <c:v>-1332604.5328776035</c:v>
                </c:pt>
                <c:pt idx="3">
                  <c:v>-214505.92867533304</c:v>
                </c:pt>
                <c:pt idx="4">
                  <c:v>1085144.5196052399</c:v>
                </c:pt>
                <c:pt idx="5">
                  <c:v>2577524.4560327306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38-40D3-B355-B88CA4923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0475232"/>
        <c:axId val="36047366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suspect!$A$70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rgbClr val="4285F4"/>
                  </a:solidFill>
                  <a:ln>
                    <a:noFill/>
                  </a:ln>
                  <a:effectLst/>
                </c:spPr>
                <c:invertIfNegative val="1"/>
                <c:val>
                  <c:numRef>
                    <c:extLst>
                      <c:ext uri="{02D57815-91ED-43cb-92C2-25804820EDAC}">
                        <c15:formulaRef>
                          <c15:sqref>suspect!$B$70:$G$70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4="http://schemas.microsoft.com/office/drawing/2007/8/2/chart" uri="{6F2FDCE9-48DA-4B69-8628-5D25D57E5C99}">
                    <c14:invertSolidFillFmt>
                      <c14:spPr xmlns:c14="http://schemas.microsoft.com/office/drawing/2007/8/2/chart">
                        <a:solidFill>
                          <a:srgbClr val="FFFFFF"/>
                        </a:solidFill>
                        <a:ln>
                          <a:noFill/>
                        </a:ln>
                        <a:effectLst/>
                      </c14:spPr>
                    </c14:invertSolidFillFmt>
                  </c:ext>
                  <c:ext xmlns:c16="http://schemas.microsoft.com/office/drawing/2014/chart" uri="{C3380CC4-5D6E-409C-BE32-E72D297353CC}">
                    <c16:uniqueId val="{00000004-5C38-40D3-B355-B88CA4923838}"/>
                  </c:ext>
                </c:extLst>
              </c15:ser>
            </c15:filteredBarSeries>
          </c:ext>
        </c:extLst>
      </c:barChart>
      <c:catAx>
        <c:axId val="360475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473664"/>
        <c:crosses val="autoZero"/>
        <c:auto val="1"/>
        <c:lblAlgn val="ctr"/>
        <c:lblOffset val="100"/>
        <c:noMultiLvlLbl val="1"/>
      </c:catAx>
      <c:valAx>
        <c:axId val="36047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47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SaaS</a:t>
            </a:r>
            <a:r>
              <a:rPr lang="en-US" baseline="0"/>
              <a:t> Burn Multiple 'Good'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good!$A$71</c:f>
              <c:strCache>
                <c:ptCount val="1"/>
                <c:pt idx="0">
                  <c:v>Total Corporate Overhead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good!$B$71:$G$71</c:f>
              <c:numCache>
                <c:formatCode>"$"#,##0</c:formatCode>
                <c:ptCount val="6"/>
                <c:pt idx="0">
                  <c:v>2808500</c:v>
                </c:pt>
                <c:pt idx="1">
                  <c:v>3445615.3846153845</c:v>
                </c:pt>
                <c:pt idx="2">
                  <c:v>4244796.8441814594</c:v>
                </c:pt>
                <c:pt idx="3">
                  <c:v>5250218.2344611334</c:v>
                </c:pt>
                <c:pt idx="4">
                  <c:v>6512691.213238202</c:v>
                </c:pt>
                <c:pt idx="5">
                  <c:v>8098070.702114895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F-4D65-AEF3-D609981BA51D}"/>
            </c:ext>
          </c:extLst>
        </c:ser>
        <c:ser>
          <c:idx val="2"/>
          <c:order val="2"/>
          <c:tx>
            <c:strRef>
              <c:f>good!$A$72</c:f>
              <c:strCache>
                <c:ptCount val="1"/>
                <c:pt idx="0">
                  <c:v>Total Customer Acquisition Cost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good!$B$72:$G$72</c:f>
              <c:numCache>
                <c:formatCode>"$"#,##0</c:formatCode>
                <c:ptCount val="6"/>
                <c:pt idx="0">
                  <c:v>1215000</c:v>
                </c:pt>
                <c:pt idx="1">
                  <c:v>1979538.4615384615</c:v>
                </c:pt>
                <c:pt idx="2">
                  <c:v>2174017.75147929</c:v>
                </c:pt>
                <c:pt idx="3">
                  <c:v>2421505.6683356091</c:v>
                </c:pt>
                <c:pt idx="4">
                  <c:v>2729967.5745324823</c:v>
                </c:pt>
                <c:pt idx="5">
                  <c:v>3117455.386652031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CF-4D65-AEF3-D609981BA51D}"/>
            </c:ext>
          </c:extLst>
        </c:ser>
        <c:ser>
          <c:idx val="3"/>
          <c:order val="3"/>
          <c:tx>
            <c:strRef>
              <c:f>good!$A$73</c:f>
              <c:strCache>
                <c:ptCount val="1"/>
                <c:pt idx="0">
                  <c:v>Total Production Cost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good!$B$73:$G$73</c:f>
              <c:numCache>
                <c:formatCode>"$"#,##0</c:formatCode>
                <c:ptCount val="6"/>
                <c:pt idx="0">
                  <c:v>708000</c:v>
                </c:pt>
                <c:pt idx="1">
                  <c:v>946000</c:v>
                </c:pt>
                <c:pt idx="2">
                  <c:v>1573000</c:v>
                </c:pt>
                <c:pt idx="3">
                  <c:v>2382490</c:v>
                </c:pt>
                <c:pt idx="4">
                  <c:v>3382071.0000000009</c:v>
                </c:pt>
                <c:pt idx="5">
                  <c:v>4638268.8000000007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CF-4D65-AEF3-D609981BA51D}"/>
            </c:ext>
          </c:extLst>
        </c:ser>
        <c:ser>
          <c:idx val="4"/>
          <c:order val="4"/>
          <c:tx>
            <c:strRef>
              <c:f>good!$A$74</c:f>
              <c:strCache>
                <c:ptCount val="1"/>
                <c:pt idx="0">
                  <c:v>Net Profit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good!$B$74:$G$74</c:f>
              <c:numCache>
                <c:formatCode>"$"#,##0</c:formatCode>
                <c:ptCount val="6"/>
                <c:pt idx="0">
                  <c:v>-2365750</c:v>
                </c:pt>
                <c:pt idx="1">
                  <c:v>-1639653.846153846</c:v>
                </c:pt>
                <c:pt idx="2">
                  <c:v>-74737.672583826818</c:v>
                </c:pt>
                <c:pt idx="3">
                  <c:v>1858770.3181105554</c:v>
                </c:pt>
                <c:pt idx="4">
                  <c:v>4315361.3845349811</c:v>
                </c:pt>
                <c:pt idx="5">
                  <c:v>7398661.1774240844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F-4D65-AEF3-D609981BA5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0442448"/>
        <c:axId val="52043892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good!$A$70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good!$B$70:$G$70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A3CF-4D65-AEF3-D609981BA51D}"/>
                  </c:ext>
                </c:extLst>
              </c15:ser>
            </c15:filteredBarSeries>
          </c:ext>
        </c:extLst>
      </c:barChart>
      <c:catAx>
        <c:axId val="520442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438920"/>
        <c:crosses val="autoZero"/>
        <c:auto val="1"/>
        <c:lblAlgn val="ctr"/>
        <c:lblOffset val="100"/>
        <c:noMultiLvlLbl val="0"/>
      </c:catAx>
      <c:valAx>
        <c:axId val="520438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044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SaaS Burn Multiple 'Great to Good'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'great to good'!$A$71</c:f>
              <c:strCache>
                <c:ptCount val="1"/>
                <c:pt idx="0">
                  <c:v>Total Corporate Overhead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'great to good'!$B$71:$G$71</c:f>
              <c:numCache>
                <c:formatCode>"$"#,##0</c:formatCode>
                <c:ptCount val="6"/>
                <c:pt idx="0">
                  <c:v>2808500</c:v>
                </c:pt>
                <c:pt idx="1">
                  <c:v>3646198.4126984128</c:v>
                </c:pt>
                <c:pt idx="2">
                  <c:v>4598869.4281365518</c:v>
                </c:pt>
                <c:pt idx="3">
                  <c:v>5666563.3351409556</c:v>
                </c:pt>
                <c:pt idx="4">
                  <c:v>6848894.9840808436</c:v>
                </c:pt>
                <c:pt idx="5">
                  <c:v>8146222.4485547123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F-4C13-A997-02B9E590E446}"/>
            </c:ext>
          </c:extLst>
        </c:ser>
        <c:ser>
          <c:idx val="2"/>
          <c:order val="2"/>
          <c:tx>
            <c:strRef>
              <c:f>'great to good'!$A$72</c:f>
              <c:strCache>
                <c:ptCount val="1"/>
                <c:pt idx="0">
                  <c:v>Total Customer Acquisition Cost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'great to good'!$B$72:$G$72</c:f>
              <c:numCache>
                <c:formatCode>"$"#,##0</c:formatCode>
                <c:ptCount val="6"/>
                <c:pt idx="0">
                  <c:v>1215000</c:v>
                </c:pt>
                <c:pt idx="1">
                  <c:v>2220238.0952380951</c:v>
                </c:pt>
                <c:pt idx="2">
                  <c:v>2358205.2185257664</c:v>
                </c:pt>
                <c:pt idx="3">
                  <c:v>2496232.6884052847</c:v>
                </c:pt>
                <c:pt idx="4">
                  <c:v>2633797.978727865</c:v>
                </c:pt>
                <c:pt idx="5">
                  <c:v>2771792.9573686421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F-4C13-A997-02B9E590E446}"/>
            </c:ext>
          </c:extLst>
        </c:ser>
        <c:ser>
          <c:idx val="3"/>
          <c:order val="3"/>
          <c:tx>
            <c:strRef>
              <c:f>'great to good'!$A$73</c:f>
              <c:strCache>
                <c:ptCount val="1"/>
                <c:pt idx="0">
                  <c:v>Total Production Cost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'great to good'!$B$73:$G$73</c:f>
              <c:numCache>
                <c:formatCode>"$"#,##0</c:formatCode>
                <c:ptCount val="6"/>
                <c:pt idx="0">
                  <c:v>708000</c:v>
                </c:pt>
                <c:pt idx="1">
                  <c:v>1254000</c:v>
                </c:pt>
                <c:pt idx="2">
                  <c:v>2093300</c:v>
                </c:pt>
                <c:pt idx="3">
                  <c:v>3047990</c:v>
                </c:pt>
                <c:pt idx="4">
                  <c:v>4114121.0000000005</c:v>
                </c:pt>
                <c:pt idx="5">
                  <c:v>5298577.9000000022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4F-4C13-A997-02B9E590E446}"/>
            </c:ext>
          </c:extLst>
        </c:ser>
        <c:ser>
          <c:idx val="4"/>
          <c:order val="4"/>
          <c:tx>
            <c:strRef>
              <c:f>'great to good'!$A$74</c:f>
              <c:strCache>
                <c:ptCount val="1"/>
                <c:pt idx="0">
                  <c:v>Net Profit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val>
            <c:numRef>
              <c:f>'great to good'!$B$74:$G$74</c:f>
              <c:numCache>
                <c:formatCode>"$"#,##0</c:formatCode>
                <c:ptCount val="6"/>
                <c:pt idx="0">
                  <c:v>-1577166.6666666665</c:v>
                </c:pt>
                <c:pt idx="1">
                  <c:v>-811769.84126984049</c:v>
                </c:pt>
                <c:pt idx="2">
                  <c:v>1446784.0834964141</c:v>
                </c:pt>
                <c:pt idx="3">
                  <c:v>4049727.7838031836</c:v>
                </c:pt>
                <c:pt idx="4">
                  <c:v>7002169.3795627356</c:v>
                </c:pt>
                <c:pt idx="5">
                  <c:v>10294048.281147525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4F-4C13-A997-02B9E590E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9787560"/>
        <c:axId val="359787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'great to good'!$A$70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'great to good'!$B$70:$G$70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44F-4C13-A997-02B9E590E446}"/>
                  </c:ext>
                </c:extLst>
              </c15:ser>
            </c15:filteredBarSeries>
          </c:ext>
        </c:extLst>
      </c:barChart>
      <c:catAx>
        <c:axId val="359787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787952"/>
        <c:crosses val="autoZero"/>
        <c:auto val="1"/>
        <c:lblAlgn val="ctr"/>
        <c:lblOffset val="100"/>
        <c:noMultiLvlLbl val="0"/>
      </c:catAx>
      <c:valAx>
        <c:axId val="35978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9787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SaaS Burn Multiple 'Good to Great'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61503244002998"/>
          <c:y val="0.13616220786691879"/>
          <c:w val="0.62067495176385856"/>
          <c:h val="0.7676567311744543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'good to great'!$A$71</c:f>
              <c:strCache>
                <c:ptCount val="1"/>
                <c:pt idx="0">
                  <c:v>Total Corporate Overhead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'good to great'!$B$71:$G$71</c:f>
              <c:numCache>
                <c:formatCode>"$"#,##0</c:formatCode>
                <c:ptCount val="6"/>
                <c:pt idx="0">
                  <c:v>2808500</c:v>
                </c:pt>
                <c:pt idx="1">
                  <c:v>3321564.5161290322</c:v>
                </c:pt>
                <c:pt idx="2">
                  <c:v>4019753.0120481928</c:v>
                </c:pt>
                <c:pt idx="3">
                  <c:v>5004865.7534246575</c:v>
                </c:pt>
                <c:pt idx="4">
                  <c:v>6584642.7798771849</c:v>
                </c:pt>
                <c:pt idx="5">
                  <c:v>9152387.7548515983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7-4904-919D-5C79C41EFFD7}"/>
            </c:ext>
          </c:extLst>
        </c:ser>
        <c:ser>
          <c:idx val="2"/>
          <c:order val="2"/>
          <c:tx>
            <c:strRef>
              <c:f>'good to great'!$A$72</c:f>
              <c:strCache>
                <c:ptCount val="1"/>
                <c:pt idx="0">
                  <c:v>Total Customer Acquisition Cost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'good to great'!$B$72:$G$72</c:f>
              <c:numCache>
                <c:formatCode>"$"#,##0</c:formatCode>
                <c:ptCount val="6"/>
                <c:pt idx="0">
                  <c:v>1215000</c:v>
                </c:pt>
                <c:pt idx="1">
                  <c:v>1830677.4193548388</c:v>
                </c:pt>
                <c:pt idx="2">
                  <c:v>2052826.1951029925</c:v>
                </c:pt>
                <c:pt idx="3">
                  <c:v>2397135.289651758</c:v>
                </c:pt>
                <c:pt idx="4">
                  <c:v>3110732.4317430323</c:v>
                </c:pt>
                <c:pt idx="5">
                  <c:v>4296293.9699692968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77-4904-919D-5C79C41EFFD7}"/>
            </c:ext>
          </c:extLst>
        </c:ser>
        <c:ser>
          <c:idx val="3"/>
          <c:order val="3"/>
          <c:tx>
            <c:strRef>
              <c:f>'good to great'!$A$73</c:f>
              <c:strCache>
                <c:ptCount val="1"/>
                <c:pt idx="0">
                  <c:v>Total Production Cost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'good to great'!$B$73:$G$73</c:f>
              <c:numCache>
                <c:formatCode>"$"#,##0</c:formatCode>
                <c:ptCount val="6"/>
                <c:pt idx="0">
                  <c:v>708000</c:v>
                </c:pt>
                <c:pt idx="1">
                  <c:v>747999.99999999988</c:v>
                </c:pt>
                <c:pt idx="2">
                  <c:v>1258400</c:v>
                </c:pt>
                <c:pt idx="3">
                  <c:v>1956570</c:v>
                </c:pt>
                <c:pt idx="4">
                  <c:v>2942841.0000000005</c:v>
                </c:pt>
                <c:pt idx="5">
                  <c:v>4525533.1000000015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77-4904-919D-5C79C41EFFD7}"/>
            </c:ext>
          </c:extLst>
        </c:ser>
        <c:ser>
          <c:idx val="4"/>
          <c:order val="4"/>
          <c:tx>
            <c:strRef>
              <c:f>'good to great'!$A$74</c:f>
              <c:strCache>
                <c:ptCount val="1"/>
                <c:pt idx="0">
                  <c:v>Net Profit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'good to great'!$B$74:$G$74</c:f>
              <c:numCache>
                <c:formatCode>"$"#,##0</c:formatCode>
                <c:ptCount val="6"/>
                <c:pt idx="0">
                  <c:v>-2838900</c:v>
                </c:pt>
                <c:pt idx="1">
                  <c:v>-2115041.935483871</c:v>
                </c:pt>
                <c:pt idx="2">
                  <c:v>-980456.62650602404</c:v>
                </c:pt>
                <c:pt idx="3">
                  <c:v>482894.01716455072</c:v>
                </c:pt>
                <c:pt idx="4">
                  <c:v>2128812.5555030722</c:v>
                </c:pt>
                <c:pt idx="5">
                  <c:v>4691699.0745650269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77-4904-919D-5C79C41EF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9710704"/>
        <c:axId val="5197103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'good to great'!$A$70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'good to great'!$B$70:$G$70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CC77-4904-919D-5C79C41EFFD7}"/>
                  </c:ext>
                </c:extLst>
              </c15:ser>
            </c15:filteredBarSeries>
          </c:ext>
        </c:extLst>
      </c:barChart>
      <c:catAx>
        <c:axId val="5197107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710312"/>
        <c:crosses val="autoZero"/>
        <c:auto val="1"/>
        <c:lblAlgn val="ctr"/>
        <c:lblOffset val="100"/>
        <c:noMultiLvlLbl val="0"/>
      </c:catAx>
      <c:valAx>
        <c:axId val="519710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9710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SaaS Burn Multiple 'Great'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great!$A$72</c:f>
              <c:strCache>
                <c:ptCount val="1"/>
                <c:pt idx="0">
                  <c:v>Total Corporate Overhead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great!$B$72:$G$72</c:f>
              <c:numCache>
                <c:formatCode>"$"#,##0</c:formatCode>
                <c:ptCount val="6"/>
                <c:pt idx="0">
                  <c:v>2808500</c:v>
                </c:pt>
                <c:pt idx="1">
                  <c:v>4281263.1578947362</c:v>
                </c:pt>
                <c:pt idx="2">
                  <c:v>6530069.2520775618</c:v>
                </c:pt>
                <c:pt idx="3">
                  <c:v>9962292.7394663952</c:v>
                </c:pt>
                <c:pt idx="4">
                  <c:v>15200010.828799658</c:v>
                </c:pt>
                <c:pt idx="5">
                  <c:v>23194256.23111536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1-460C-A47A-F05C92B19C8F}"/>
            </c:ext>
          </c:extLst>
        </c:ser>
        <c:ser>
          <c:idx val="2"/>
          <c:order val="2"/>
          <c:tx>
            <c:strRef>
              <c:f>great!$A$73</c:f>
              <c:strCache>
                <c:ptCount val="1"/>
                <c:pt idx="0">
                  <c:v>Total Customer Acquisition Cost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great!$B$73:$G$73</c:f>
              <c:numCache>
                <c:formatCode>"$"#,##0</c:formatCode>
                <c:ptCount val="6"/>
                <c:pt idx="0">
                  <c:v>1215000</c:v>
                </c:pt>
                <c:pt idx="1">
                  <c:v>2982315.7894736836</c:v>
                </c:pt>
                <c:pt idx="2">
                  <c:v>3913567.3130193907</c:v>
                </c:pt>
                <c:pt idx="3">
                  <c:v>5333668.1848665997</c:v>
                </c:pt>
                <c:pt idx="4">
                  <c:v>7500261.7071999144</c:v>
                </c:pt>
                <c:pt idx="5">
                  <c:v>10808094.482778842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01-460C-A47A-F05C92B19C8F}"/>
            </c:ext>
          </c:extLst>
        </c:ser>
        <c:ser>
          <c:idx val="3"/>
          <c:order val="3"/>
          <c:tx>
            <c:strRef>
              <c:f>great!$A$74</c:f>
              <c:strCache>
                <c:ptCount val="1"/>
                <c:pt idx="0">
                  <c:v>Total Production Cost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great!$B$74:$G$74</c:f>
              <c:numCache>
                <c:formatCode>"$"#,##0</c:formatCode>
                <c:ptCount val="6"/>
                <c:pt idx="0">
                  <c:v>708000</c:v>
                </c:pt>
                <c:pt idx="1">
                  <c:v>1572999.9999999998</c:v>
                </c:pt>
                <c:pt idx="2">
                  <c:v>3049200</c:v>
                </c:pt>
                <c:pt idx="3">
                  <c:v>5297380</c:v>
                </c:pt>
                <c:pt idx="4">
                  <c:v>8726036.0000000019</c:v>
                </c:pt>
                <c:pt idx="5">
                  <c:v>13963121.700000007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01-460C-A47A-F05C92B19C8F}"/>
            </c:ext>
          </c:extLst>
        </c:ser>
        <c:ser>
          <c:idx val="4"/>
          <c:order val="4"/>
          <c:tx>
            <c:strRef>
              <c:f>great!$A$75</c:f>
              <c:strCache>
                <c:ptCount val="1"/>
                <c:pt idx="0">
                  <c:v>Net Profit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great!$B$75:$G$75</c:f>
              <c:numCache>
                <c:formatCode>"$"#,##0</c:formatCode>
                <c:ptCount val="6"/>
                <c:pt idx="0">
                  <c:v>-788583.33333333302</c:v>
                </c:pt>
                <c:pt idx="1">
                  <c:v>-950745.61403508484</c:v>
                </c:pt>
                <c:pt idx="2">
                  <c:v>1756812.5577100646</c:v>
                </c:pt>
                <c:pt idx="3">
                  <c:v>5900338.6693881489</c:v>
                </c:pt>
                <c:pt idx="4">
                  <c:v>12228488.494665734</c:v>
                </c:pt>
                <c:pt idx="5">
                  <c:v>21877915.063437417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01-460C-A47A-F05C92B19C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2466464"/>
        <c:axId val="4689092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great!$A$71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great!$B$71:$G$71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3301-460C-A47A-F05C92B19C8F}"/>
                  </c:ext>
                </c:extLst>
              </c15:ser>
            </c15:filteredBarSeries>
          </c:ext>
        </c:extLst>
      </c:barChart>
      <c:catAx>
        <c:axId val="472466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8909240"/>
        <c:crosses val="autoZero"/>
        <c:auto val="1"/>
        <c:lblAlgn val="ctr"/>
        <c:lblOffset val="100"/>
        <c:noMultiLvlLbl val="0"/>
      </c:catAx>
      <c:valAx>
        <c:axId val="468909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246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SaaS Burn Multiple 'Exceptional'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exceptional!$A$71</c:f>
              <c:strCache>
                <c:ptCount val="1"/>
                <c:pt idx="0">
                  <c:v>Total Corporate Overhead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exceptional!$B$71:$G$71</c:f>
              <c:numCache>
                <c:formatCode>"$"#,##0</c:formatCode>
                <c:ptCount val="6"/>
                <c:pt idx="0">
                  <c:v>2808500</c:v>
                </c:pt>
                <c:pt idx="1">
                  <c:v>5471326.0869565215</c:v>
                </c:pt>
                <c:pt idx="2">
                  <c:v>10445946.124763705</c:v>
                </c:pt>
                <c:pt idx="3">
                  <c:v>19746187.918139227</c:v>
                </c:pt>
                <c:pt idx="4">
                  <c:v>37135095.70863454</c:v>
                </c:pt>
                <c:pt idx="5">
                  <c:v>69641063.886301741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B4-426B-B883-D22BF6EA31BC}"/>
            </c:ext>
          </c:extLst>
        </c:ser>
        <c:ser>
          <c:idx val="2"/>
          <c:order val="2"/>
          <c:tx>
            <c:strRef>
              <c:f>exceptional!$A$72</c:f>
              <c:strCache>
                <c:ptCount val="1"/>
                <c:pt idx="0">
                  <c:v>Total Customer Acquisition Cost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exceptional!$B$72:$G$72</c:f>
              <c:numCache>
                <c:formatCode>"$"#,##0</c:formatCode>
                <c:ptCount val="6"/>
                <c:pt idx="0">
                  <c:v>1215000</c:v>
                </c:pt>
                <c:pt idx="1">
                  <c:v>4410391.3043478262</c:v>
                </c:pt>
                <c:pt idx="2">
                  <c:v>7184544.0453686202</c:v>
                </c:pt>
                <c:pt idx="3">
                  <c:v>12375290.152050626</c:v>
                </c:pt>
                <c:pt idx="4">
                  <c:v>22081689.348594379</c:v>
                </c:pt>
                <c:pt idx="5">
                  <c:v>40222161.813200638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B4-426B-B883-D22BF6EA31BC}"/>
            </c:ext>
          </c:extLst>
        </c:ser>
        <c:ser>
          <c:idx val="3"/>
          <c:order val="3"/>
          <c:tx>
            <c:strRef>
              <c:f>exceptional!$A$73</c:f>
              <c:strCache>
                <c:ptCount val="1"/>
                <c:pt idx="0">
                  <c:v>Total Production Cost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exceptional!$B$73:$G$73</c:f>
              <c:numCache>
                <c:formatCode>"$"#,##0</c:formatCode>
                <c:ptCount val="6"/>
                <c:pt idx="0">
                  <c:v>708000</c:v>
                </c:pt>
                <c:pt idx="1">
                  <c:v>2101000</c:v>
                </c:pt>
                <c:pt idx="2">
                  <c:v>4755300</c:v>
                </c:pt>
                <c:pt idx="3">
                  <c:v>9729610</c:v>
                </c:pt>
                <c:pt idx="4">
                  <c:v>19033300.000000004</c:v>
                </c:pt>
                <c:pt idx="5">
                  <c:v>36413631.100000009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B4-426B-B883-D22BF6EA31BC}"/>
            </c:ext>
          </c:extLst>
        </c:ser>
        <c:ser>
          <c:idx val="4"/>
          <c:order val="4"/>
          <c:tx>
            <c:strRef>
              <c:f>exceptional!$A$74</c:f>
              <c:strCache>
                <c:ptCount val="1"/>
                <c:pt idx="0">
                  <c:v>Net Profit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exceptional!$B$74:$G$74</c:f>
              <c:numCache>
                <c:formatCode>"$"#,##0</c:formatCode>
                <c:ptCount val="6"/>
                <c:pt idx="0">
                  <c:v>525722.22222222202</c:v>
                </c:pt>
                <c:pt idx="1">
                  <c:v>-1468272.9468599036</c:v>
                </c:pt>
                <c:pt idx="2">
                  <c:v>1442784.7090947255</c:v>
                </c:pt>
                <c:pt idx="3">
                  <c:v>6850586.9980731159</c:v>
                </c:pt>
                <c:pt idx="4">
                  <c:v>16952798.977911651</c:v>
                </c:pt>
                <c:pt idx="5">
                  <c:v>35870566.188114762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B4-426B-B883-D22BF6EA3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6473280"/>
        <c:axId val="4664717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exceptional!$A$70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exceptional!$B$70:$G$70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7AB4-426B-B883-D22BF6EA31BC}"/>
                  </c:ext>
                </c:extLst>
              </c15:ser>
            </c15:filteredBarSeries>
          </c:ext>
        </c:extLst>
      </c:barChart>
      <c:catAx>
        <c:axId val="466473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471712"/>
        <c:crosses val="autoZero"/>
        <c:auto val="1"/>
        <c:lblAlgn val="ctr"/>
        <c:lblOffset val="100"/>
        <c:noMultiLvlLbl val="0"/>
      </c:catAx>
      <c:valAx>
        <c:axId val="46647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647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1466850</xdr:colOff>
      <xdr:row>2</xdr:row>
      <xdr:rowOff>85725</xdr:rowOff>
    </xdr:from>
    <xdr:to>
      <xdr:col>0</xdr:col>
      <xdr:colOff>3467100</xdr:colOff>
      <xdr:row>4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438150"/>
          <a:ext cx="20002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3838576</xdr:colOff>
      <xdr:row>7</xdr:row>
      <xdr:rowOff>142875</xdr:rowOff>
    </xdr:from>
    <xdr:to>
      <xdr:col>0</xdr:col>
      <xdr:colOff>11201400</xdr:colOff>
      <xdr:row>29</xdr:row>
      <xdr:rowOff>95250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838576" y="1333500"/>
          <a:ext cx="7362824" cy="3514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Welcome to NetSuite Brainyard’s </a:t>
          </a:r>
          <a:r>
            <a:rPr lang="en-US" sz="18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Burn Multiple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Calculator. The calculations are based on David Sacks' concepts and advice on Bad, Suspect, Good, Great and Exceptional burn multiples for early stage startups. 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in yellow is intended to be editable to change scenarios. The spreadsheet uses iterative calculations to allow revenue from acquired customers to</a:t>
          </a:r>
          <a:r>
            <a:rPr lang="en-US" sz="1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affect total revenue and burn in the year they are acquired. If you aren’t familiar with iterative calculations, check out this </a:t>
          </a:r>
          <a:r>
            <a:rPr lang="en-US" sz="180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video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400050</xdr:colOff>
      <xdr:row>50</xdr:row>
      <xdr:rowOff>114300</xdr:rowOff>
    </xdr:from>
    <xdr:ext cx="8610600" cy="3533775"/>
    <xdr:graphicFrame macro="">
      <xdr:nvGraphicFramePr>
        <xdr:cNvPr id="2" name="Chart 2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542925</xdr:colOff>
      <xdr:row>51</xdr:row>
      <xdr:rowOff>47625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229475" y="1024890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862012</xdr:colOff>
      <xdr:row>51</xdr:row>
      <xdr:rowOff>23811</xdr:rowOff>
    </xdr:from>
    <xdr:to>
      <xdr:col>12</xdr:col>
      <xdr:colOff>485775</xdr:colOff>
      <xdr:row>68</xdr:row>
      <xdr:rowOff>104775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919161</xdr:colOff>
      <xdr:row>51</xdr:row>
      <xdr:rowOff>47625</xdr:rowOff>
    </xdr:from>
    <xdr:to>
      <xdr:col>12</xdr:col>
      <xdr:colOff>809625</xdr:colOff>
      <xdr:row>68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862011</xdr:colOff>
      <xdr:row>51</xdr:row>
      <xdr:rowOff>66675</xdr:rowOff>
    </xdr:from>
    <xdr:to>
      <xdr:col>12</xdr:col>
      <xdr:colOff>419099</xdr:colOff>
      <xdr:row>68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390525</xdr:colOff>
      <xdr:row>50</xdr:row>
      <xdr:rowOff>185737</xdr:rowOff>
    </xdr:from>
    <xdr:to>
      <xdr:col>12</xdr:col>
      <xdr:colOff>152400</xdr:colOff>
      <xdr:row>68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195261</xdr:colOff>
      <xdr:row>50</xdr:row>
      <xdr:rowOff>157162</xdr:rowOff>
    </xdr:from>
    <xdr:to>
      <xdr:col>11</xdr:col>
      <xdr:colOff>676274</xdr:colOff>
      <xdr:row>68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_4" displayName="Table_4" ref="B74:G74" headerRowCount="0">
  <tableColumns count="6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</tableColumns>
  <tableStyleInfo name="suspect-style" showFirstColumn="1" showLastColumn="1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_10" displayName="Table_10" ref="A26:L29" headerRowCount="0">
  <tableColumns count="12">
    <tableColumn id="1" xr3:uid="{00000000-0010-0000-0900-000001000000}" name="Column1"/>
    <tableColumn id="2" xr3:uid="{00000000-0010-0000-0900-000002000000}" name="Column2"/>
    <tableColumn id="3" xr3:uid="{00000000-0010-0000-0900-000003000000}" name="Column3"/>
    <tableColumn id="4" xr3:uid="{00000000-0010-0000-0900-000004000000}" name="Column4"/>
    <tableColumn id="5" xr3:uid="{00000000-0010-0000-0900-000005000000}" name="Column5"/>
    <tableColumn id="6" xr3:uid="{00000000-0010-0000-0900-000006000000}" name="Column6"/>
    <tableColumn id="7" xr3:uid="{00000000-0010-0000-0900-000007000000}" name="Column7"/>
    <tableColumn id="8" xr3:uid="{00000000-0010-0000-0900-000008000000}" name="Column8"/>
    <tableColumn id="9" xr3:uid="{00000000-0010-0000-0900-000009000000}" name="Column9"/>
    <tableColumn id="10" xr3:uid="{00000000-0010-0000-0900-00000A000000}" name="Column10"/>
    <tableColumn id="11" xr3:uid="{00000000-0010-0000-0900-00000B000000}" name="Column11"/>
    <tableColumn id="12" xr3:uid="{00000000-0010-0000-0900-00000C000000}" name="Column12"/>
  </tableColumns>
  <tableStyleInfo name="great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e_11" displayName="Table_11" ref="B74:F74" headerRowCount="0">
  <tableColumns count="5">
    <tableColumn id="1" xr3:uid="{00000000-0010-0000-0A00-000001000000}" name="Column1">
      <calculatedColumnFormula>G28 - G26</calculatedColumnFormula>
    </tableColumn>
    <tableColumn id="2" xr3:uid="{00000000-0010-0000-0A00-000002000000}" name="Column2">
      <calculatedColumnFormula>H28 - H26</calculatedColumnFormula>
    </tableColumn>
    <tableColumn id="3" xr3:uid="{00000000-0010-0000-0A00-000003000000}" name="Column3">
      <calculatedColumnFormula>I28 - I26</calculatedColumnFormula>
    </tableColumn>
    <tableColumn id="4" xr3:uid="{00000000-0010-0000-0A00-000004000000}" name="Column4">
      <calculatedColumnFormula>J28 - J26</calculatedColumnFormula>
    </tableColumn>
    <tableColumn id="5" xr3:uid="{00000000-0010-0000-0A00-000005000000}" name="Column5">
      <calculatedColumnFormula>K28 - K26</calculatedColumnFormula>
    </tableColumn>
  </tableColumns>
  <tableStyleInfo name="exceptional-style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e_12" displayName="Table_12" ref="A26:L29" headerRowCount="0">
  <tableColumns count="12">
    <tableColumn id="1" xr3:uid="{00000000-0010-0000-0B00-000001000000}" name="Column1"/>
    <tableColumn id="2" xr3:uid="{00000000-0010-0000-0B00-000002000000}" name="Column2"/>
    <tableColumn id="3" xr3:uid="{00000000-0010-0000-0B00-000003000000}" name="Column3"/>
    <tableColumn id="4" xr3:uid="{00000000-0010-0000-0B00-000004000000}" name="Column4"/>
    <tableColumn id="5" xr3:uid="{00000000-0010-0000-0B00-000005000000}" name="Column5"/>
    <tableColumn id="6" xr3:uid="{00000000-0010-0000-0B00-000006000000}" name="Column6"/>
    <tableColumn id="7" xr3:uid="{00000000-0010-0000-0B00-000007000000}" name="Column7"/>
    <tableColumn id="8" xr3:uid="{00000000-0010-0000-0B00-000008000000}" name="Column8"/>
    <tableColumn id="9" xr3:uid="{00000000-0010-0000-0B00-000009000000}" name="Column9"/>
    <tableColumn id="10" xr3:uid="{00000000-0010-0000-0B00-00000A000000}" name="Column10"/>
    <tableColumn id="11" xr3:uid="{00000000-0010-0000-0B00-00000B000000}" name="Column11"/>
    <tableColumn id="12" xr3:uid="{00000000-0010-0000-0B00-00000C000000}" name="Column12"/>
  </tableColumns>
  <tableStyleInfo name="exceptional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_6" displayName="Table_6" ref="A26:L29" headerRowCount="0">
  <tableColumns count="12">
    <tableColumn id="1" xr3:uid="{00000000-0010-0000-0100-000001000000}" name="Column1"/>
    <tableColumn id="2" xr3:uid="{00000000-0010-0000-0100-000002000000}" name="Column2"/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</tableColumns>
  <tableStyleInfo name="suspect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_1" displayName="Table_1" ref="B74:G74" headerRowCount="0">
  <tableColumns count="6">
    <tableColumn id="1" xr3:uid="{00000000-0010-0000-0200-000001000000}" name="Column1">
      <calculatedColumnFormula>G28 - G26</calculatedColumnFormula>
    </tableColumn>
    <tableColumn id="2" xr3:uid="{00000000-0010-0000-0200-000002000000}" name="Column2">
      <calculatedColumnFormula>H28 - H26</calculatedColumnFormula>
    </tableColumn>
    <tableColumn id="3" xr3:uid="{00000000-0010-0000-0200-000003000000}" name="Column3">
      <calculatedColumnFormula>I28 - I26</calculatedColumnFormula>
    </tableColumn>
    <tableColumn id="4" xr3:uid="{00000000-0010-0000-0200-000004000000}" name="Column4">
      <calculatedColumnFormula>J28 - J26</calculatedColumnFormula>
    </tableColumn>
    <tableColumn id="5" xr3:uid="{00000000-0010-0000-0200-000005000000}" name="Column5">
      <calculatedColumnFormula>K28 - K26</calculatedColumnFormula>
    </tableColumn>
    <tableColumn id="6" xr3:uid="{00000000-0010-0000-0200-000006000000}" name="Column6">
      <calculatedColumnFormula>L28 - L26</calculatedColumnFormula>
    </tableColumn>
  </tableColumns>
  <tableStyleInfo name="ok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Table_2" displayName="Table_2" ref="A26:L29" headerRowCount="0">
  <tableColumns count="12">
    <tableColumn id="1" xr3:uid="{00000000-0010-0000-0300-000001000000}" name="Column1"/>
    <tableColumn id="2" xr3:uid="{00000000-0010-0000-0300-000002000000}" name="Column2"/>
    <tableColumn id="3" xr3:uid="{00000000-0010-0000-0300-000003000000}" name="Column3"/>
    <tableColumn id="4" xr3:uid="{00000000-0010-0000-0300-000004000000}" name="Column4"/>
    <tableColumn id="5" xr3:uid="{00000000-0010-0000-0300-000005000000}" name="Column5"/>
    <tableColumn id="6" xr3:uid="{00000000-0010-0000-0300-000006000000}" name="Column6"/>
    <tableColumn id="7" xr3:uid="{00000000-0010-0000-0300-000007000000}" name="Column7"/>
    <tableColumn id="8" xr3:uid="{00000000-0010-0000-0300-000008000000}" name="Column8"/>
    <tableColumn id="9" xr3:uid="{00000000-0010-0000-0300-000009000000}" name="Column9"/>
    <tableColumn id="10" xr3:uid="{00000000-0010-0000-0300-00000A000000}" name="Column10"/>
    <tableColumn id="11" xr3:uid="{00000000-0010-0000-0300-00000B000000}" name="Column11"/>
    <tableColumn id="12" xr3:uid="{00000000-0010-0000-0300-00000C000000}" name="Column12"/>
  </tableColumns>
  <tableStyleInfo name="ok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e_3" displayName="Table_3" ref="B74:G74" headerRowCount="0">
  <tableColumns count="6">
    <tableColumn id="1" xr3:uid="{00000000-0010-0000-0400-000001000000}" name="Column1">
      <calculatedColumnFormula>G28 - G26</calculatedColumnFormula>
    </tableColumn>
    <tableColumn id="2" xr3:uid="{00000000-0010-0000-0400-000002000000}" name="Column2">
      <calculatedColumnFormula>H28 - H26</calculatedColumnFormula>
    </tableColumn>
    <tableColumn id="3" xr3:uid="{00000000-0010-0000-0400-000003000000}" name="Column3">
      <calculatedColumnFormula>I28 - I26</calculatedColumnFormula>
    </tableColumn>
    <tableColumn id="4" xr3:uid="{00000000-0010-0000-0400-000004000000}" name="Column4">
      <calculatedColumnFormula>J28 - J26</calculatedColumnFormula>
    </tableColumn>
    <tableColumn id="5" xr3:uid="{00000000-0010-0000-0400-000005000000}" name="Column5">
      <calculatedColumnFormula>K28 - K26</calculatedColumnFormula>
    </tableColumn>
    <tableColumn id="6" xr3:uid="{00000000-0010-0000-0400-000006000000}" name="Column6">
      <calculatedColumnFormula>L28 - L26</calculatedColumnFormula>
    </tableColumn>
  </tableColumns>
  <tableStyleInfo name="good to ok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e_5" displayName="Table_5" ref="A26:L29" headerRowCount="0">
  <tableColumns count="12">
    <tableColumn id="1" xr3:uid="{00000000-0010-0000-0500-000001000000}" name="Column1"/>
    <tableColumn id="2" xr3:uid="{00000000-0010-0000-0500-000002000000}" name="Column2"/>
    <tableColumn id="3" xr3:uid="{00000000-0010-0000-0500-000003000000}" name="Column3"/>
    <tableColumn id="4" xr3:uid="{00000000-0010-0000-0500-000004000000}" name="Column4"/>
    <tableColumn id="5" xr3:uid="{00000000-0010-0000-0500-000005000000}" name="Column5"/>
    <tableColumn id="6" xr3:uid="{00000000-0010-0000-0500-000006000000}" name="Column6"/>
    <tableColumn id="7" xr3:uid="{00000000-0010-0000-0500-000007000000}" name="Column7"/>
    <tableColumn id="8" xr3:uid="{00000000-0010-0000-0500-000008000000}" name="Column8"/>
    <tableColumn id="9" xr3:uid="{00000000-0010-0000-0500-000009000000}" name="Column9"/>
    <tableColumn id="10" xr3:uid="{00000000-0010-0000-0500-00000A000000}" name="Column10"/>
    <tableColumn id="11" xr3:uid="{00000000-0010-0000-0500-00000B000000}" name="Column11"/>
    <tableColumn id="12" xr3:uid="{00000000-0010-0000-0500-00000C000000}" name="Column12"/>
  </tableColumns>
  <tableStyleInfo name="good to ok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e_7" displayName="Table_7" ref="B74:G74" headerRowCount="0">
  <tableColumns count="6">
    <tableColumn id="1" xr3:uid="{00000000-0010-0000-0600-000001000000}" name="Column1">
      <calculatedColumnFormula>G28 - G26</calculatedColumnFormula>
    </tableColumn>
    <tableColumn id="2" xr3:uid="{00000000-0010-0000-0600-000002000000}" name="Column2">
      <calculatedColumnFormula>H28 - H26</calculatedColumnFormula>
    </tableColumn>
    <tableColumn id="3" xr3:uid="{00000000-0010-0000-0600-000003000000}" name="Column3">
      <calculatedColumnFormula>I28 - I26</calculatedColumnFormula>
    </tableColumn>
    <tableColumn id="4" xr3:uid="{00000000-0010-0000-0600-000004000000}" name="Column4">
      <calculatedColumnFormula>J28 - J26</calculatedColumnFormula>
    </tableColumn>
    <tableColumn id="5" xr3:uid="{00000000-0010-0000-0600-000005000000}" name="Column5">
      <calculatedColumnFormula>K28 - K26</calculatedColumnFormula>
    </tableColumn>
    <tableColumn id="6" xr3:uid="{00000000-0010-0000-0600-000006000000}" name="Column6">
      <calculatedColumnFormula>L28 - L26</calculatedColumnFormula>
    </tableColumn>
  </tableColumns>
  <tableStyleInfo name="ok to good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A26:L29" headerRowCount="0">
  <tableColumns count="12">
    <tableColumn id="1" xr3:uid="{00000000-0010-0000-0700-000001000000}" name="Column1"/>
    <tableColumn id="2" xr3:uid="{00000000-0010-0000-0700-000002000000}" name="Column2"/>
    <tableColumn id="3" xr3:uid="{00000000-0010-0000-0700-000003000000}" name="Column3"/>
    <tableColumn id="4" xr3:uid="{00000000-0010-0000-0700-000004000000}" name="Column4"/>
    <tableColumn id="5" xr3:uid="{00000000-0010-0000-0700-000005000000}" name="Column5"/>
    <tableColumn id="6" xr3:uid="{00000000-0010-0000-0700-000006000000}" name="Column6"/>
    <tableColumn id="7" xr3:uid="{00000000-0010-0000-0700-000007000000}" name="Column7"/>
    <tableColumn id="8" xr3:uid="{00000000-0010-0000-0700-000008000000}" name="Column8"/>
    <tableColumn id="9" xr3:uid="{00000000-0010-0000-0700-000009000000}" name="Column9"/>
    <tableColumn id="10" xr3:uid="{00000000-0010-0000-0700-00000A000000}" name="Column10"/>
    <tableColumn id="11" xr3:uid="{00000000-0010-0000-0700-00000B000000}" name="Column11"/>
    <tableColumn id="12" xr3:uid="{00000000-0010-0000-0700-00000C000000}" name="Column12"/>
  </tableColumns>
  <tableStyleInfo name="ok to good-style 2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e_9" displayName="Table_9" ref="B75" headerRowCount="0">
  <tableColumns count="1">
    <tableColumn id="1" xr3:uid="{00000000-0010-0000-0800-000001000000}" name="Column1"/>
  </tableColumns>
  <tableStyleInfo name="great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tabSelected="1" workbookViewId="0">
      <selection activeCell="A36" sqref="A36"/>
    </sheetView>
  </sheetViews>
  <sheetFormatPr defaultRowHeight="12.75"/>
  <cols>
    <col min="1" max="1" width="174.7109375" customWidth="1"/>
  </cols>
  <sheetData>
    <row r="1" spans="1:1" ht="15">
      <c r="A1" s="58"/>
    </row>
    <row r="2" spans="1:1">
      <c r="A2" s="59"/>
    </row>
    <row r="3" spans="1:1" ht="15">
      <c r="A3" s="58"/>
    </row>
    <row r="4" spans="1:1">
      <c r="A4" s="59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B76"/>
  <sheetViews>
    <sheetView topLeftCell="A40" workbookViewId="0">
      <selection activeCell="N61" sqref="N61"/>
    </sheetView>
  </sheetViews>
  <sheetFormatPr defaultColWidth="14.42578125" defaultRowHeight="15.75" customHeight="1"/>
  <cols>
    <col min="1" max="1" width="28.140625" customWidth="1"/>
  </cols>
  <sheetData>
    <row r="1" spans="1:28">
      <c r="A1" s="2"/>
      <c r="C1" s="2"/>
      <c r="D1" s="2"/>
      <c r="G1" s="2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</row>
    <row r="2" spans="1:28">
      <c r="A2" s="1" t="s">
        <v>6</v>
      </c>
      <c r="B2" s="3"/>
      <c r="C2" s="1" t="s">
        <v>7</v>
      </c>
      <c r="D2" s="1" t="s">
        <v>8</v>
      </c>
      <c r="E2" s="3"/>
      <c r="F2" s="1" t="s">
        <v>9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</row>
    <row r="3" spans="1:28">
      <c r="A3" s="3"/>
      <c r="B3" s="3"/>
      <c r="C3" s="3"/>
      <c r="D3" s="3"/>
      <c r="E3" s="3"/>
      <c r="F3" s="3"/>
    </row>
    <row r="4" spans="1:28">
      <c r="A4" s="1" t="s">
        <v>10</v>
      </c>
      <c r="B4" s="4">
        <v>250000</v>
      </c>
      <c r="C4" s="5">
        <v>1.3</v>
      </c>
      <c r="D4" s="1">
        <v>1</v>
      </c>
      <c r="E4" s="3"/>
      <c r="F4" s="6">
        <f t="shared" ref="F4:F13" si="0">B4*C4*D4</f>
        <v>325000</v>
      </c>
    </row>
    <row r="5" spans="1:28">
      <c r="A5" s="1" t="s">
        <v>11</v>
      </c>
      <c r="B5" s="4">
        <v>250000</v>
      </c>
      <c r="C5" s="5">
        <v>1.3</v>
      </c>
      <c r="D5" s="1">
        <v>1</v>
      </c>
      <c r="E5" s="3"/>
      <c r="F5" s="6">
        <f t="shared" si="0"/>
        <v>325000</v>
      </c>
    </row>
    <row r="6" spans="1:28">
      <c r="A6" s="1" t="s">
        <v>12</v>
      </c>
      <c r="B6" s="4">
        <v>250000</v>
      </c>
      <c r="C6" s="5">
        <v>1.3</v>
      </c>
      <c r="D6" s="1">
        <v>1</v>
      </c>
      <c r="E6" s="3"/>
      <c r="F6" s="6">
        <f t="shared" si="0"/>
        <v>325000</v>
      </c>
    </row>
    <row r="7" spans="1:28">
      <c r="A7" s="1" t="s">
        <v>13</v>
      </c>
      <c r="B7" s="4">
        <v>70000</v>
      </c>
      <c r="C7" s="5">
        <v>1.3</v>
      </c>
      <c r="D7" s="1">
        <v>1</v>
      </c>
      <c r="E7" s="3"/>
      <c r="F7" s="6">
        <f t="shared" si="0"/>
        <v>91000</v>
      </c>
    </row>
    <row r="8" spans="1:28">
      <c r="A8" s="1" t="s">
        <v>14</v>
      </c>
      <c r="B8" s="4">
        <v>100000</v>
      </c>
      <c r="C8" s="5">
        <v>1.3</v>
      </c>
      <c r="D8" s="1">
        <v>1</v>
      </c>
      <c r="E8" s="3"/>
      <c r="F8" s="6">
        <f t="shared" si="0"/>
        <v>130000</v>
      </c>
    </row>
    <row r="9" spans="1:28">
      <c r="A9" s="1" t="s">
        <v>15</v>
      </c>
      <c r="B9" s="4">
        <v>400000</v>
      </c>
      <c r="C9" s="5">
        <v>1</v>
      </c>
      <c r="D9" s="1">
        <v>1</v>
      </c>
      <c r="E9" s="3"/>
      <c r="F9" s="6">
        <f t="shared" si="0"/>
        <v>400000</v>
      </c>
    </row>
    <row r="10" spans="1:28">
      <c r="A10" s="1" t="s">
        <v>16</v>
      </c>
      <c r="B10" s="4">
        <v>300000</v>
      </c>
      <c r="C10" s="5">
        <v>1</v>
      </c>
      <c r="D10" s="1">
        <v>1</v>
      </c>
      <c r="E10" s="3"/>
      <c r="F10" s="6">
        <f t="shared" si="0"/>
        <v>300000</v>
      </c>
    </row>
    <row r="11" spans="1:28">
      <c r="A11" s="1"/>
      <c r="B11" s="3"/>
      <c r="C11" s="3"/>
      <c r="D11" s="3"/>
      <c r="E11" s="3"/>
      <c r="F11" s="3">
        <f t="shared" si="0"/>
        <v>0</v>
      </c>
    </row>
    <row r="12" spans="1:28">
      <c r="A12" s="1" t="s">
        <v>17</v>
      </c>
      <c r="B12" s="4">
        <v>125000</v>
      </c>
      <c r="C12" s="5">
        <v>1.3</v>
      </c>
      <c r="D12" s="1">
        <v>5</v>
      </c>
      <c r="E12" s="3"/>
      <c r="F12" s="6">
        <f t="shared" si="0"/>
        <v>812500</v>
      </c>
    </row>
    <row r="13" spans="1:28">
      <c r="A13" s="1" t="s">
        <v>18</v>
      </c>
      <c r="B13" s="4">
        <v>100000</v>
      </c>
      <c r="C13" s="7">
        <v>1</v>
      </c>
      <c r="D13" s="1">
        <v>1</v>
      </c>
      <c r="E13" s="3"/>
      <c r="F13" s="6">
        <f t="shared" si="0"/>
        <v>100000</v>
      </c>
    </row>
    <row r="14" spans="1:28">
      <c r="A14" s="8" t="s">
        <v>19</v>
      </c>
      <c r="B14" s="9"/>
      <c r="C14" s="9"/>
      <c r="D14" s="9"/>
      <c r="E14" s="9"/>
      <c r="F14" s="9"/>
      <c r="G14" s="10">
        <f>SUM(F4:F13)</f>
        <v>2808500</v>
      </c>
      <c r="H14" s="10">
        <f t="shared" ref="H14:L14" ca="1" si="1">G14 + H29*$C$55</f>
        <v>3171820.3125</v>
      </c>
      <c r="I14" s="10">
        <f t="shared" ca="1" si="1"/>
        <v>3592056.2744140625</v>
      </c>
      <c r="J14" s="10">
        <f t="shared" ca="1" si="1"/>
        <v>4077830.9833526611</v>
      </c>
      <c r="K14" s="10">
        <f t="shared" ca="1" si="1"/>
        <v>4638887.2320520878</v>
      </c>
      <c r="L14" s="10">
        <f t="shared" ca="1" si="1"/>
        <v>5287470.2345561571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>
      <c r="A15" s="1" t="s">
        <v>20</v>
      </c>
      <c r="B15" s="4">
        <v>150000</v>
      </c>
      <c r="C15" s="5">
        <v>1.3</v>
      </c>
      <c r="D15" s="1">
        <v>2</v>
      </c>
      <c r="E15" s="3"/>
      <c r="F15" s="6">
        <f t="shared" ref="F15:F16" si="2">B15*C15*D15</f>
        <v>390000</v>
      </c>
    </row>
    <row r="16" spans="1:28">
      <c r="A16" s="1" t="s">
        <v>21</v>
      </c>
      <c r="B16" s="4">
        <v>100000</v>
      </c>
      <c r="C16" s="5">
        <v>1</v>
      </c>
      <c r="D16" s="1">
        <v>1</v>
      </c>
      <c r="E16" s="3"/>
      <c r="F16" s="6">
        <f t="shared" si="2"/>
        <v>100000</v>
      </c>
    </row>
    <row r="17" spans="1:28">
      <c r="A17" s="3"/>
      <c r="B17" s="3"/>
      <c r="C17" s="3"/>
      <c r="D17" s="3"/>
      <c r="E17" s="3"/>
      <c r="F17" s="3"/>
    </row>
    <row r="18" spans="1:28">
      <c r="A18" s="1" t="s">
        <v>22</v>
      </c>
      <c r="B18" s="4">
        <v>125000</v>
      </c>
      <c r="C18" s="5">
        <v>1.3</v>
      </c>
      <c r="D18" s="1">
        <v>2</v>
      </c>
      <c r="E18" s="3"/>
      <c r="F18" s="6">
        <f t="shared" ref="F18:F20" si="3">B18*C18*D18</f>
        <v>325000</v>
      </c>
    </row>
    <row r="19" spans="1:28">
      <c r="A19" s="1" t="s">
        <v>23</v>
      </c>
      <c r="B19" s="4">
        <v>300000</v>
      </c>
      <c r="C19" s="5">
        <v>1</v>
      </c>
      <c r="D19" s="1">
        <v>1</v>
      </c>
      <c r="E19" s="3"/>
      <c r="F19" s="6">
        <f t="shared" si="3"/>
        <v>300000</v>
      </c>
    </row>
    <row r="20" spans="1:28">
      <c r="A20" s="1" t="s">
        <v>24</v>
      </c>
      <c r="B20" s="4">
        <v>100000</v>
      </c>
      <c r="C20" s="5">
        <v>1</v>
      </c>
      <c r="D20" s="1">
        <v>1</v>
      </c>
      <c r="E20" s="3"/>
      <c r="F20" s="6">
        <f t="shared" si="3"/>
        <v>100000</v>
      </c>
    </row>
    <row r="21" spans="1:28">
      <c r="A21" s="12" t="s">
        <v>25</v>
      </c>
      <c r="B21" s="13"/>
      <c r="C21" s="13"/>
      <c r="D21" s="13"/>
      <c r="E21" s="13"/>
      <c r="F21" s="13"/>
      <c r="G21" s="14">
        <f>SUM(F15:F20)</f>
        <v>1215000</v>
      </c>
      <c r="H21" s="15">
        <f t="shared" ref="H21:L21" ca="1" si="4">$G$21 + H29*($C$57)*(1+H50)</f>
        <v>1650984.375</v>
      </c>
      <c r="I21" s="15">
        <f t="shared" ca="1" si="4"/>
        <v>1719283.154296875</v>
      </c>
      <c r="J21" s="15">
        <f t="shared" ca="1" si="4"/>
        <v>1797929.6507263184</v>
      </c>
      <c r="K21" s="15">
        <f t="shared" ca="1" si="4"/>
        <v>1888267.498439312</v>
      </c>
      <c r="L21" s="15">
        <f t="shared" ca="1" si="4"/>
        <v>1993299.6030048835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>
      <c r="A22" s="1" t="s">
        <v>26</v>
      </c>
      <c r="B22" s="4">
        <v>500000</v>
      </c>
      <c r="C22" s="5">
        <v>1</v>
      </c>
      <c r="D22" s="1">
        <v>1</v>
      </c>
      <c r="E22" s="3"/>
      <c r="F22" s="6">
        <f t="shared" ref="F22:F23" si="5">B22*C22*D22</f>
        <v>500000</v>
      </c>
    </row>
    <row r="23" spans="1:28">
      <c r="A23" s="1" t="s">
        <v>27</v>
      </c>
      <c r="B23" s="4">
        <v>80000</v>
      </c>
      <c r="C23" s="5">
        <v>1.3</v>
      </c>
      <c r="D23" s="1">
        <v>2</v>
      </c>
      <c r="E23" s="3"/>
      <c r="F23" s="6">
        <f t="shared" si="5"/>
        <v>208000</v>
      </c>
    </row>
    <row r="24" spans="1:28">
      <c r="A24" s="8" t="s">
        <v>28</v>
      </c>
      <c r="B24" s="9"/>
      <c r="C24" s="9"/>
      <c r="D24" s="9"/>
      <c r="E24" s="9"/>
      <c r="F24" s="9"/>
      <c r="G24" s="10">
        <f>SUM(F22:F23)</f>
        <v>708000</v>
      </c>
      <c r="H24" s="10">
        <f t="shared" ref="H24:L24" si="6">H36*H33*(1 - $C51)</f>
        <v>627000</v>
      </c>
      <c r="I24" s="10">
        <f t="shared" ca="1" si="6"/>
        <v>992200</v>
      </c>
      <c r="J24" s="10">
        <f t="shared" ca="1" si="6"/>
        <v>1410860</v>
      </c>
      <c r="K24" s="10">
        <f t="shared" ca="1" si="6"/>
        <v>1888689.0000000002</v>
      </c>
      <c r="L24" s="10">
        <f t="shared" ca="1" si="6"/>
        <v>2447975.2000000011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6" spans="1:28">
      <c r="A26" s="18" t="s">
        <v>29</v>
      </c>
      <c r="B26" s="19"/>
      <c r="C26" s="19"/>
      <c r="D26" s="19"/>
      <c r="E26" s="19"/>
      <c r="F26" s="19"/>
      <c r="G26" s="20">
        <f t="shared" ref="G26:L26" si="7">SUM(G14:G24)</f>
        <v>4731500</v>
      </c>
      <c r="H26" s="20">
        <f t="shared" ca="1" si="7"/>
        <v>5449804.6875</v>
      </c>
      <c r="I26" s="20">
        <f t="shared" ca="1" si="7"/>
        <v>6303539.4287109375</v>
      </c>
      <c r="J26" s="20">
        <f t="shared" ca="1" si="7"/>
        <v>7286620.6340789795</v>
      </c>
      <c r="K26" s="20">
        <f t="shared" ca="1" si="7"/>
        <v>8415843.7304913998</v>
      </c>
      <c r="L26" s="20">
        <f t="shared" ca="1" si="7"/>
        <v>9728745.0375610422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8" spans="1:28">
      <c r="A28" s="21" t="s">
        <v>30</v>
      </c>
      <c r="B28" s="22"/>
      <c r="C28" s="22"/>
      <c r="D28" s="22"/>
      <c r="E28" s="22"/>
      <c r="F28" s="21">
        <v>0</v>
      </c>
      <c r="G28" s="23">
        <f>F28+G29</f>
        <v>1577166.6666666667</v>
      </c>
      <c r="H28" s="24">
        <f t="shared" ref="H28:L28" si="8">G28 + G29</f>
        <v>3154333.3333333335</v>
      </c>
      <c r="I28" s="24">
        <f t="shared" ca="1" si="8"/>
        <v>4970934.895833334</v>
      </c>
      <c r="J28" s="24">
        <f t="shared" ca="1" si="8"/>
        <v>7072114.7054036465</v>
      </c>
      <c r="K28" s="24">
        <f t="shared" ca="1" si="8"/>
        <v>9500988.2500966396</v>
      </c>
      <c r="L28" s="24">
        <f t="shared" ca="1" si="8"/>
        <v>12306269.493593773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>
      <c r="A29" s="25" t="s">
        <v>31</v>
      </c>
      <c r="B29" s="26"/>
      <c r="C29" s="26"/>
      <c r="D29" s="26"/>
      <c r="E29" s="26"/>
      <c r="F29" s="26"/>
      <c r="G29" s="27">
        <f t="shared" ref="G29:L29" si="9">G26/G49</f>
        <v>1577166.6666666667</v>
      </c>
      <c r="H29" s="27">
        <f t="shared" ca="1" si="9"/>
        <v>1816601.5625</v>
      </c>
      <c r="I29" s="27">
        <f t="shared" ca="1" si="9"/>
        <v>2101179.8095703125</v>
      </c>
      <c r="J29" s="27">
        <f t="shared" ca="1" si="9"/>
        <v>2428873.5446929932</v>
      </c>
      <c r="K29" s="27">
        <f t="shared" ca="1" si="9"/>
        <v>2805281.2434971333</v>
      </c>
      <c r="L29" s="27">
        <f t="shared" ca="1" si="9"/>
        <v>3242915.0125203473</v>
      </c>
    </row>
    <row r="30" spans="1:28">
      <c r="A30" s="2" t="s">
        <v>32</v>
      </c>
      <c r="G30" s="28">
        <f t="shared" ref="G30:L30" si="10">G26/G29</f>
        <v>3</v>
      </c>
      <c r="H30" s="28">
        <f t="shared" ca="1" si="10"/>
        <v>3</v>
      </c>
      <c r="I30" s="28">
        <f t="shared" ca="1" si="10"/>
        <v>3</v>
      </c>
      <c r="J30" s="28">
        <f t="shared" ca="1" si="10"/>
        <v>3</v>
      </c>
      <c r="K30" s="28">
        <f t="shared" ca="1" si="10"/>
        <v>3</v>
      </c>
      <c r="L30" s="28">
        <f t="shared" ca="1" si="10"/>
        <v>3</v>
      </c>
    </row>
    <row r="32" spans="1:28">
      <c r="A32" s="2"/>
    </row>
    <row r="33" spans="1:28">
      <c r="A33" s="2" t="s">
        <v>33</v>
      </c>
      <c r="G33" s="4">
        <v>50000</v>
      </c>
      <c r="H33" s="29">
        <f t="shared" ref="H33:L33" si="11">G33*(1+$C$53)</f>
        <v>55000.000000000007</v>
      </c>
      <c r="I33" s="29">
        <f t="shared" si="11"/>
        <v>60500.000000000015</v>
      </c>
      <c r="J33" s="29">
        <f t="shared" si="11"/>
        <v>66550.000000000015</v>
      </c>
      <c r="K33" s="29">
        <f t="shared" si="11"/>
        <v>73205.000000000029</v>
      </c>
      <c r="L33" s="29">
        <f t="shared" si="11"/>
        <v>80525.500000000044</v>
      </c>
    </row>
    <row r="34" spans="1:28">
      <c r="B34" s="17"/>
      <c r="C34" s="11"/>
      <c r="D34" s="11"/>
      <c r="E34" s="11"/>
      <c r="F34" s="11"/>
      <c r="G34" s="11"/>
      <c r="H34" s="10"/>
      <c r="I34" s="10"/>
      <c r="J34" s="10"/>
      <c r="K34" s="10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6" spans="1:28">
      <c r="A36" s="30" t="s">
        <v>34</v>
      </c>
      <c r="B36" s="30"/>
      <c r="C36" s="30"/>
      <c r="D36" s="31"/>
      <c r="E36" s="30"/>
      <c r="F36" s="30"/>
      <c r="G36" s="32">
        <f t="shared" ref="G36:L36" si="12">INT(G28/G33)</f>
        <v>31</v>
      </c>
      <c r="H36" s="32">
        <f t="shared" si="12"/>
        <v>57</v>
      </c>
      <c r="I36" s="32">
        <f t="shared" ca="1" si="12"/>
        <v>82</v>
      </c>
      <c r="J36" s="32">
        <f t="shared" ca="1" si="12"/>
        <v>106</v>
      </c>
      <c r="K36" s="32">
        <f t="shared" ca="1" si="12"/>
        <v>129</v>
      </c>
      <c r="L36" s="32">
        <f t="shared" ca="1" si="12"/>
        <v>152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8">
      <c r="A37" s="2" t="s">
        <v>35</v>
      </c>
      <c r="B37" s="2"/>
      <c r="G37" s="28">
        <f>INT(G28/G33*(1+G50))</f>
        <v>37</v>
      </c>
      <c r="H37" s="28">
        <f t="shared" ref="H37:L37" ca="1" si="13">INT(((H29/H33)) * (1+H50))</f>
        <v>39</v>
      </c>
      <c r="I37" s="28">
        <f t="shared" ca="1" si="13"/>
        <v>41</v>
      </c>
      <c r="J37" s="28">
        <f t="shared" ca="1" si="13"/>
        <v>43</v>
      </c>
      <c r="K37" s="28">
        <f t="shared" ca="1" si="13"/>
        <v>45</v>
      </c>
      <c r="L37" s="28">
        <f t="shared" ca="1" si="13"/>
        <v>48</v>
      </c>
      <c r="M37" s="29"/>
    </row>
    <row r="38" spans="1:28">
      <c r="C38" s="33"/>
    </row>
    <row r="39" spans="1:28">
      <c r="A39" s="2" t="s">
        <v>38</v>
      </c>
      <c r="G39" s="29">
        <f t="shared" ref="G39:L39" si="14">G33*$C$57</f>
        <v>10000</v>
      </c>
      <c r="H39" s="29">
        <f t="shared" si="14"/>
        <v>11000.000000000002</v>
      </c>
      <c r="I39" s="29">
        <f t="shared" si="14"/>
        <v>12100.000000000004</v>
      </c>
      <c r="J39" s="29">
        <f t="shared" si="14"/>
        <v>13310.000000000004</v>
      </c>
      <c r="K39" s="29">
        <f t="shared" si="14"/>
        <v>14641.000000000007</v>
      </c>
      <c r="L39" s="29">
        <f t="shared" si="14"/>
        <v>16105.100000000009</v>
      </c>
    </row>
    <row r="40" spans="1:28">
      <c r="A40" s="16" t="s">
        <v>37</v>
      </c>
      <c r="B40" s="16"/>
      <c r="C40" s="16"/>
      <c r="D40" s="16"/>
      <c r="E40" s="16"/>
      <c r="F40" s="16"/>
      <c r="G40" s="37">
        <f t="shared" ref="G40:L40" si="15">G21/G37</f>
        <v>32837.83783783784</v>
      </c>
      <c r="H40" s="38">
        <f t="shared" ca="1" si="15"/>
        <v>42332.932692307695</v>
      </c>
      <c r="I40" s="38">
        <f t="shared" ca="1" si="15"/>
        <v>41933.735470655491</v>
      </c>
      <c r="J40" s="38">
        <f t="shared" ca="1" si="15"/>
        <v>41812.31745875159</v>
      </c>
      <c r="K40" s="38">
        <f t="shared" ca="1" si="15"/>
        <v>41961.499965318042</v>
      </c>
      <c r="L40" s="38">
        <f t="shared" ca="1" si="15"/>
        <v>41527.07506260174</v>
      </c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</row>
    <row r="41" spans="1:28">
      <c r="A41" s="2" t="s">
        <v>43</v>
      </c>
      <c r="G41" s="35">
        <f t="shared" ref="G41:L41" si="16">G21/G28</f>
        <v>0.77036880481876779</v>
      </c>
      <c r="H41" s="35">
        <f t="shared" ca="1" si="16"/>
        <v>0.52340199989432523</v>
      </c>
      <c r="I41" s="35">
        <f t="shared" ca="1" si="16"/>
        <v>0.34586716388862543</v>
      </c>
      <c r="J41" s="35">
        <f t="shared" ca="1" si="16"/>
        <v>0.25422801037892667</v>
      </c>
      <c r="K41" s="35">
        <f t="shared" ca="1" si="16"/>
        <v>0.19874432519376134</v>
      </c>
      <c r="L41" s="35">
        <f t="shared" ca="1" si="16"/>
        <v>0.16197431756573571</v>
      </c>
    </row>
    <row r="43" spans="1:28">
      <c r="A43" s="2" t="s">
        <v>40</v>
      </c>
      <c r="G43" s="36">
        <f t="shared" ref="G43:L43" si="17">(G14/G28)</f>
        <v>1.780724928669555</v>
      </c>
      <c r="H43" s="36">
        <f t="shared" ca="1" si="17"/>
        <v>1.0055437955722286</v>
      </c>
      <c r="I43" s="36">
        <f t="shared" ca="1" si="17"/>
        <v>0.72261181240272221</v>
      </c>
      <c r="J43" s="36">
        <f t="shared" ca="1" si="17"/>
        <v>0.57660701971319561</v>
      </c>
      <c r="K43" s="36">
        <f t="shared" ca="1" si="17"/>
        <v>0.48825312798433396</v>
      </c>
      <c r="L43" s="36">
        <f t="shared" ca="1" si="17"/>
        <v>0.4296566264300189</v>
      </c>
    </row>
    <row r="45" spans="1:28">
      <c r="A45" s="2" t="s">
        <v>41</v>
      </c>
      <c r="G45" s="35">
        <f t="shared" ref="G45:L45" si="18">(G28-G24)/G28</f>
        <v>0.55109373348832291</v>
      </c>
      <c r="H45" s="35">
        <f t="shared" si="18"/>
        <v>0.80122582690478705</v>
      </c>
      <c r="I45" s="35">
        <f t="shared" ca="1" si="18"/>
        <v>0.80039971941059462</v>
      </c>
      <c r="J45" s="35">
        <f t="shared" ca="1" si="18"/>
        <v>0.80050380137047361</v>
      </c>
      <c r="K45" s="35">
        <f t="shared" ca="1" si="18"/>
        <v>0.8012113108359239</v>
      </c>
      <c r="L45" s="35">
        <f t="shared" ca="1" si="18"/>
        <v>0.80107901900942979</v>
      </c>
    </row>
    <row r="47" spans="1:28">
      <c r="A47" s="2" t="s">
        <v>42</v>
      </c>
      <c r="G47" s="35">
        <f t="shared" ref="G47:L47" si="19">(G28-G26) /G28</f>
        <v>-1.9999999999999998</v>
      </c>
      <c r="H47" s="35">
        <f t="shared" ca="1" si="19"/>
        <v>-0.72771996856176679</v>
      </c>
      <c r="I47" s="35">
        <f t="shared" ca="1" si="19"/>
        <v>-0.26807925688075301</v>
      </c>
      <c r="J47" s="35">
        <f t="shared" ca="1" si="19"/>
        <v>-3.0331228721648673E-2</v>
      </c>
      <c r="K47" s="35">
        <f t="shared" ca="1" si="19"/>
        <v>0.11421385765782863</v>
      </c>
      <c r="L47" s="35">
        <f t="shared" ca="1" si="19"/>
        <v>0.20944807501367516</v>
      </c>
    </row>
    <row r="48" spans="1:28">
      <c r="A48" s="2"/>
      <c r="G48" s="35"/>
      <c r="H48" s="35"/>
      <c r="I48" s="35"/>
      <c r="J48" s="35"/>
      <c r="K48" s="35"/>
      <c r="L48" s="35"/>
    </row>
    <row r="49" spans="1:13">
      <c r="A49" s="1" t="s">
        <v>44</v>
      </c>
      <c r="B49" s="39"/>
      <c r="C49" s="39"/>
      <c r="D49" s="39"/>
      <c r="E49" s="39"/>
      <c r="F49" s="39"/>
      <c r="G49" s="45">
        <v>3</v>
      </c>
      <c r="H49" s="45">
        <v>3</v>
      </c>
      <c r="I49" s="45">
        <v>3</v>
      </c>
      <c r="J49" s="45">
        <v>3</v>
      </c>
      <c r="K49" s="45">
        <v>3</v>
      </c>
      <c r="L49" s="45">
        <v>3</v>
      </c>
    </row>
    <row r="50" spans="1:13">
      <c r="A50" s="1" t="s">
        <v>45</v>
      </c>
      <c r="B50" s="2"/>
      <c r="G50" s="47">
        <v>0.2</v>
      </c>
      <c r="H50" s="47">
        <v>0.2</v>
      </c>
      <c r="I50" s="47">
        <v>0.2</v>
      </c>
      <c r="J50" s="7">
        <v>0.2</v>
      </c>
      <c r="K50" s="7">
        <v>0.2</v>
      </c>
      <c r="L50" s="7">
        <v>0.2</v>
      </c>
      <c r="M50" s="2"/>
    </row>
    <row r="51" spans="1:13">
      <c r="A51" s="1" t="s">
        <v>46</v>
      </c>
      <c r="B51" s="3"/>
      <c r="C51" s="48">
        <v>0.8</v>
      </c>
    </row>
    <row r="52" spans="1:13">
      <c r="A52" s="3"/>
      <c r="B52" s="3"/>
      <c r="C52" s="3"/>
    </row>
    <row r="53" spans="1:13">
      <c r="A53" s="1" t="s">
        <v>47</v>
      </c>
      <c r="B53" s="3"/>
      <c r="C53" s="48">
        <v>0.1</v>
      </c>
    </row>
    <row r="54" spans="1:13">
      <c r="A54" s="3"/>
      <c r="B54" s="3"/>
      <c r="C54" s="3"/>
    </row>
    <row r="55" spans="1:13">
      <c r="A55" s="1" t="s">
        <v>48</v>
      </c>
      <c r="B55" s="3"/>
      <c r="C55" s="48">
        <v>0.2</v>
      </c>
    </row>
    <row r="56" spans="1:13">
      <c r="A56" s="3"/>
      <c r="B56" s="3"/>
      <c r="C56" s="1"/>
    </row>
    <row r="57" spans="1:13">
      <c r="A57" s="1" t="s">
        <v>53</v>
      </c>
      <c r="B57" s="3"/>
      <c r="C57" s="48">
        <v>0.2</v>
      </c>
    </row>
    <row r="70" spans="1:28">
      <c r="B70" s="2" t="s">
        <v>0</v>
      </c>
      <c r="C70" s="2" t="s">
        <v>1</v>
      </c>
      <c r="D70" s="2" t="s">
        <v>2</v>
      </c>
      <c r="E70" s="2" t="s">
        <v>3</v>
      </c>
      <c r="F70" s="2" t="s">
        <v>4</v>
      </c>
      <c r="G70" s="2" t="s">
        <v>5</v>
      </c>
    </row>
    <row r="71" spans="1:28">
      <c r="A71" s="17" t="s">
        <v>50</v>
      </c>
      <c r="B71" s="42">
        <f t="shared" ref="B71:G71" si="20">G14</f>
        <v>2808500</v>
      </c>
      <c r="C71" s="42">
        <f t="shared" ca="1" si="20"/>
        <v>3171820.3125</v>
      </c>
      <c r="D71" s="42">
        <f t="shared" ca="1" si="20"/>
        <v>3592056.2744140625</v>
      </c>
      <c r="E71" s="42">
        <f t="shared" ca="1" si="20"/>
        <v>4077830.9833526611</v>
      </c>
      <c r="F71" s="42">
        <f t="shared" ca="1" si="20"/>
        <v>4638887.2320520878</v>
      </c>
      <c r="G71" s="42">
        <f t="shared" ca="1" si="20"/>
        <v>5287470.2345561571</v>
      </c>
    </row>
    <row r="72" spans="1:28">
      <c r="A72" s="17" t="s">
        <v>51</v>
      </c>
      <c r="B72" s="43">
        <f t="shared" ref="B72:G72" si="21">G21</f>
        <v>1215000</v>
      </c>
      <c r="C72" s="43">
        <f t="shared" ca="1" si="21"/>
        <v>1650984.375</v>
      </c>
      <c r="D72" s="43">
        <f t="shared" ca="1" si="21"/>
        <v>1719283.154296875</v>
      </c>
      <c r="E72" s="43">
        <f t="shared" ca="1" si="21"/>
        <v>1797929.6507263184</v>
      </c>
      <c r="F72" s="43">
        <f t="shared" ca="1" si="21"/>
        <v>1888267.498439312</v>
      </c>
      <c r="G72" s="43">
        <f t="shared" ca="1" si="21"/>
        <v>1993299.6030048835</v>
      </c>
    </row>
    <row r="73" spans="1:28">
      <c r="A73" s="17" t="s">
        <v>28</v>
      </c>
      <c r="B73" s="43">
        <f t="shared" ref="B73:G73" si="22">G24</f>
        <v>708000</v>
      </c>
      <c r="C73" s="43">
        <f t="shared" si="22"/>
        <v>627000</v>
      </c>
      <c r="D73" s="43">
        <f t="shared" ca="1" si="22"/>
        <v>992200</v>
      </c>
      <c r="E73" s="43">
        <f t="shared" ca="1" si="22"/>
        <v>1410860</v>
      </c>
      <c r="F73" s="43">
        <f t="shared" ca="1" si="22"/>
        <v>1888689.0000000002</v>
      </c>
      <c r="G73" s="43">
        <f t="shared" ca="1" si="22"/>
        <v>2447975.2000000011</v>
      </c>
    </row>
    <row r="74" spans="1:28">
      <c r="A74" s="21" t="s">
        <v>52</v>
      </c>
      <c r="B74" s="46">
        <f t="shared" ref="B74:G74" si="23">G28 - G26</f>
        <v>-3154333.333333333</v>
      </c>
      <c r="C74" s="46">
        <f t="shared" ca="1" si="23"/>
        <v>-2295471.3541666665</v>
      </c>
      <c r="D74" s="46">
        <f t="shared" ca="1" si="23"/>
        <v>-1332604.5328776035</v>
      </c>
      <c r="E74" s="46">
        <f t="shared" ca="1" si="23"/>
        <v>-214505.92867533304</v>
      </c>
      <c r="F74" s="46">
        <f t="shared" ca="1" si="23"/>
        <v>1085144.5196052399</v>
      </c>
      <c r="G74" s="46">
        <f t="shared" ca="1" si="23"/>
        <v>2577524.4560327306</v>
      </c>
      <c r="H74" s="11"/>
    </row>
    <row r="76" spans="1:28">
      <c r="A76" s="53" t="s">
        <v>54</v>
      </c>
      <c r="B76" s="37">
        <f t="shared" ref="B76:G76" si="24">MAX(0,(B74*20))</f>
        <v>0</v>
      </c>
      <c r="C76" s="37">
        <f t="shared" ca="1" si="24"/>
        <v>0</v>
      </c>
      <c r="D76" s="37">
        <f t="shared" ca="1" si="24"/>
        <v>0</v>
      </c>
      <c r="E76" s="37">
        <f t="shared" ca="1" si="24"/>
        <v>0</v>
      </c>
      <c r="F76" s="37">
        <f t="shared" ca="1" si="24"/>
        <v>21702890.392104797</v>
      </c>
      <c r="G76" s="37">
        <f t="shared" ca="1" si="24"/>
        <v>51550489.120654613</v>
      </c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B83"/>
  <sheetViews>
    <sheetView topLeftCell="A40" workbookViewId="0">
      <selection activeCell="K72" sqref="K72"/>
    </sheetView>
  </sheetViews>
  <sheetFormatPr defaultColWidth="14.42578125" defaultRowHeight="15.75" customHeight="1"/>
  <cols>
    <col min="1" max="1" width="28.140625" customWidth="1"/>
  </cols>
  <sheetData>
    <row r="1" spans="1:28">
      <c r="A1" s="1"/>
      <c r="B1" s="3"/>
      <c r="C1" s="1"/>
      <c r="D1" s="1"/>
      <c r="E1" s="3"/>
      <c r="F1" s="3"/>
      <c r="G1" s="2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</row>
    <row r="2" spans="1:28">
      <c r="A2" s="1" t="s">
        <v>6</v>
      </c>
      <c r="B2" s="3"/>
      <c r="C2" s="1" t="s">
        <v>7</v>
      </c>
      <c r="D2" s="1" t="s">
        <v>8</v>
      </c>
      <c r="E2" s="3"/>
      <c r="F2" s="1" t="s">
        <v>9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</row>
    <row r="3" spans="1:28">
      <c r="A3" s="3"/>
      <c r="B3" s="3"/>
      <c r="C3" s="3"/>
      <c r="D3" s="3"/>
      <c r="E3" s="3"/>
      <c r="F3" s="3"/>
    </row>
    <row r="4" spans="1:28">
      <c r="A4" s="1" t="s">
        <v>10</v>
      </c>
      <c r="B4" s="4">
        <v>250000</v>
      </c>
      <c r="C4" s="5">
        <v>1.3</v>
      </c>
      <c r="D4" s="1">
        <v>1</v>
      </c>
      <c r="E4" s="3"/>
      <c r="F4" s="6">
        <f t="shared" ref="F4:F13" si="0">B4*C4*D4</f>
        <v>325000</v>
      </c>
    </row>
    <row r="5" spans="1:28">
      <c r="A5" s="1" t="s">
        <v>11</v>
      </c>
      <c r="B5" s="4">
        <v>250000</v>
      </c>
      <c r="C5" s="5">
        <v>1.3</v>
      </c>
      <c r="D5" s="1">
        <v>1</v>
      </c>
      <c r="E5" s="3"/>
      <c r="F5" s="6">
        <f t="shared" si="0"/>
        <v>325000</v>
      </c>
    </row>
    <row r="6" spans="1:28">
      <c r="A6" s="1" t="s">
        <v>12</v>
      </c>
      <c r="B6" s="4">
        <v>250000</v>
      </c>
      <c r="C6" s="5">
        <v>1.3</v>
      </c>
      <c r="D6" s="1">
        <v>1</v>
      </c>
      <c r="E6" s="3"/>
      <c r="F6" s="6">
        <f t="shared" si="0"/>
        <v>325000</v>
      </c>
    </row>
    <row r="7" spans="1:28">
      <c r="A7" s="1" t="s">
        <v>13</v>
      </c>
      <c r="B7" s="4">
        <v>70000</v>
      </c>
      <c r="C7" s="5">
        <v>1.3</v>
      </c>
      <c r="D7" s="1">
        <v>1</v>
      </c>
      <c r="E7" s="3"/>
      <c r="F7" s="6">
        <f t="shared" si="0"/>
        <v>91000</v>
      </c>
    </row>
    <row r="8" spans="1:28">
      <c r="A8" s="1" t="s">
        <v>14</v>
      </c>
      <c r="B8" s="4">
        <v>100000</v>
      </c>
      <c r="C8" s="5">
        <v>1.3</v>
      </c>
      <c r="D8" s="1">
        <v>1</v>
      </c>
      <c r="E8" s="3"/>
      <c r="F8" s="6">
        <f t="shared" si="0"/>
        <v>130000</v>
      </c>
    </row>
    <row r="9" spans="1:28">
      <c r="A9" s="1" t="s">
        <v>15</v>
      </c>
      <c r="B9" s="4">
        <v>400000</v>
      </c>
      <c r="C9" s="5">
        <v>1</v>
      </c>
      <c r="D9" s="1">
        <v>1</v>
      </c>
      <c r="E9" s="3"/>
      <c r="F9" s="6">
        <f t="shared" si="0"/>
        <v>400000</v>
      </c>
    </row>
    <row r="10" spans="1:28">
      <c r="A10" s="1" t="s">
        <v>16</v>
      </c>
      <c r="B10" s="4">
        <v>300000</v>
      </c>
      <c r="C10" s="5">
        <v>1</v>
      </c>
      <c r="D10" s="1">
        <v>1</v>
      </c>
      <c r="E10" s="3"/>
      <c r="F10" s="6">
        <f t="shared" si="0"/>
        <v>300000</v>
      </c>
    </row>
    <row r="11" spans="1:28">
      <c r="A11" s="1"/>
      <c r="B11" s="3"/>
      <c r="C11" s="3"/>
      <c r="D11" s="3"/>
      <c r="E11" s="3"/>
      <c r="F11" s="3">
        <f t="shared" si="0"/>
        <v>0</v>
      </c>
    </row>
    <row r="12" spans="1:28">
      <c r="A12" s="1" t="s">
        <v>17</v>
      </c>
      <c r="B12" s="4">
        <v>125000</v>
      </c>
      <c r="C12" s="5">
        <v>1.3</v>
      </c>
      <c r="D12" s="1">
        <v>5</v>
      </c>
      <c r="E12" s="3"/>
      <c r="F12" s="6">
        <f t="shared" si="0"/>
        <v>812500</v>
      </c>
    </row>
    <row r="13" spans="1:28">
      <c r="A13" s="1" t="s">
        <v>18</v>
      </c>
      <c r="B13" s="4">
        <v>100000</v>
      </c>
      <c r="C13" s="7">
        <v>1</v>
      </c>
      <c r="D13" s="1">
        <v>1</v>
      </c>
      <c r="E13" s="3"/>
      <c r="F13" s="6">
        <f t="shared" si="0"/>
        <v>100000</v>
      </c>
    </row>
    <row r="14" spans="1:28">
      <c r="A14" s="8" t="s">
        <v>19</v>
      </c>
      <c r="B14" s="9"/>
      <c r="C14" s="9"/>
      <c r="D14" s="9"/>
      <c r="E14" s="9"/>
      <c r="F14" s="9"/>
      <c r="G14" s="10">
        <f>SUM(F4:F13)</f>
        <v>2808500</v>
      </c>
      <c r="H14" s="10">
        <f t="shared" ref="H14:L14" ca="1" si="1">G14 + H29*$C$55</f>
        <v>3445615.3846153845</v>
      </c>
      <c r="I14" s="10">
        <f t="shared" ca="1" si="1"/>
        <v>4244796.8441814594</v>
      </c>
      <c r="J14" s="10">
        <f t="shared" ca="1" si="1"/>
        <v>5250218.2344611334</v>
      </c>
      <c r="K14" s="10">
        <f t="shared" ca="1" si="1"/>
        <v>6512691.213238202</v>
      </c>
      <c r="L14" s="10">
        <f t="shared" ca="1" si="1"/>
        <v>8098070.702114895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>
      <c r="A15" s="1" t="s">
        <v>20</v>
      </c>
      <c r="B15" s="4">
        <v>150000</v>
      </c>
      <c r="C15" s="5">
        <v>1.3</v>
      </c>
      <c r="D15" s="1">
        <v>2</v>
      </c>
      <c r="E15" s="3"/>
      <c r="F15" s="6">
        <f t="shared" ref="F15:F16" si="2">B15*C15*D15</f>
        <v>390000</v>
      </c>
    </row>
    <row r="16" spans="1:28">
      <c r="A16" s="1" t="s">
        <v>21</v>
      </c>
      <c r="B16" s="4">
        <v>100000</v>
      </c>
      <c r="C16" s="5">
        <v>1</v>
      </c>
      <c r="D16" s="1">
        <v>1</v>
      </c>
      <c r="E16" s="3"/>
      <c r="F16" s="6">
        <f t="shared" si="2"/>
        <v>100000</v>
      </c>
    </row>
    <row r="17" spans="1:28">
      <c r="A17" s="3"/>
      <c r="B17" s="3"/>
      <c r="C17" s="3"/>
      <c r="D17" s="3"/>
      <c r="E17" s="3"/>
      <c r="F17" s="3"/>
    </row>
    <row r="18" spans="1:28">
      <c r="A18" s="1" t="s">
        <v>22</v>
      </c>
      <c r="B18" s="4">
        <v>125000</v>
      </c>
      <c r="C18" s="5">
        <v>1.3</v>
      </c>
      <c r="D18" s="1">
        <v>2</v>
      </c>
      <c r="E18" s="3"/>
      <c r="F18" s="6">
        <f t="shared" ref="F18:F20" si="3">B18*C18*D18</f>
        <v>325000</v>
      </c>
    </row>
    <row r="19" spans="1:28">
      <c r="A19" s="1" t="s">
        <v>23</v>
      </c>
      <c r="B19" s="4">
        <v>300000</v>
      </c>
      <c r="C19" s="5">
        <v>1</v>
      </c>
      <c r="D19" s="1">
        <v>1</v>
      </c>
      <c r="E19" s="3"/>
      <c r="F19" s="6">
        <f t="shared" si="3"/>
        <v>300000</v>
      </c>
    </row>
    <row r="20" spans="1:28">
      <c r="A20" s="1" t="s">
        <v>24</v>
      </c>
      <c r="B20" s="4">
        <v>100000</v>
      </c>
      <c r="C20" s="5">
        <v>1</v>
      </c>
      <c r="D20" s="1">
        <v>1</v>
      </c>
      <c r="E20" s="3"/>
      <c r="F20" s="6">
        <f t="shared" si="3"/>
        <v>100000</v>
      </c>
    </row>
    <row r="21" spans="1:28">
      <c r="A21" s="12" t="s">
        <v>25</v>
      </c>
      <c r="B21" s="13"/>
      <c r="C21" s="13"/>
      <c r="D21" s="13"/>
      <c r="E21" s="13"/>
      <c r="F21" s="13"/>
      <c r="G21" s="14">
        <f>SUM(F15:F20)</f>
        <v>1215000</v>
      </c>
      <c r="H21" s="15">
        <f t="shared" ref="H21:L21" ca="1" si="4">$G$21 + H29*($C$57)*(1+H50)</f>
        <v>1979538.4615384615</v>
      </c>
      <c r="I21" s="15">
        <f t="shared" ca="1" si="4"/>
        <v>2174017.75147929</v>
      </c>
      <c r="J21" s="15">
        <f t="shared" ca="1" si="4"/>
        <v>2421505.6683356091</v>
      </c>
      <c r="K21" s="15">
        <f t="shared" ca="1" si="4"/>
        <v>2729967.5745324823</v>
      </c>
      <c r="L21" s="15">
        <f t="shared" ca="1" si="4"/>
        <v>3117455.386652031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>
      <c r="A22" s="1" t="s">
        <v>26</v>
      </c>
      <c r="B22" s="4">
        <v>500000</v>
      </c>
      <c r="C22" s="5">
        <v>1</v>
      </c>
      <c r="D22" s="1">
        <v>1</v>
      </c>
      <c r="E22" s="3"/>
      <c r="F22" s="6">
        <f t="shared" ref="F22:F23" si="5">B22*C22*D22</f>
        <v>500000</v>
      </c>
    </row>
    <row r="23" spans="1:28">
      <c r="A23" s="1" t="s">
        <v>27</v>
      </c>
      <c r="B23" s="4">
        <v>80000</v>
      </c>
      <c r="C23" s="5">
        <v>1.3</v>
      </c>
      <c r="D23" s="1">
        <v>2</v>
      </c>
      <c r="E23" s="3"/>
      <c r="F23" s="6">
        <f t="shared" si="5"/>
        <v>208000</v>
      </c>
    </row>
    <row r="24" spans="1:28">
      <c r="A24" s="17" t="s">
        <v>28</v>
      </c>
      <c r="B24" s="11"/>
      <c r="C24" s="11"/>
      <c r="D24" s="11"/>
      <c r="E24" s="11"/>
      <c r="F24" s="11"/>
      <c r="G24" s="10">
        <f>SUM(F22:F23)</f>
        <v>708000</v>
      </c>
      <c r="H24" s="10">
        <f t="shared" ref="H24:L24" si="6">H36*H33*(1 - $C51)</f>
        <v>946000</v>
      </c>
      <c r="I24" s="10">
        <f t="shared" ca="1" si="6"/>
        <v>1573000</v>
      </c>
      <c r="J24" s="10">
        <f t="shared" ca="1" si="6"/>
        <v>2382490</v>
      </c>
      <c r="K24" s="10">
        <f t="shared" ca="1" si="6"/>
        <v>3382071.0000000009</v>
      </c>
      <c r="L24" s="10">
        <f t="shared" ca="1" si="6"/>
        <v>4638268.8000000007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6" spans="1:28">
      <c r="A26" s="18" t="s">
        <v>29</v>
      </c>
      <c r="B26" s="19"/>
      <c r="C26" s="19"/>
      <c r="D26" s="19"/>
      <c r="E26" s="19"/>
      <c r="F26" s="19"/>
      <c r="G26" s="20">
        <f t="shared" ref="G26:L26" si="7">SUM(G14:G24)</f>
        <v>4731500</v>
      </c>
      <c r="H26" s="20">
        <f t="shared" ca="1" si="7"/>
        <v>6371153.846153846</v>
      </c>
      <c r="I26" s="20">
        <f t="shared" ca="1" si="7"/>
        <v>7991814.5956607498</v>
      </c>
      <c r="J26" s="20">
        <f t="shared" ca="1" si="7"/>
        <v>10054213.902796742</v>
      </c>
      <c r="K26" s="20">
        <f t="shared" ca="1" si="7"/>
        <v>12624729.787770685</v>
      </c>
      <c r="L26" s="20">
        <f t="shared" ca="1" si="7"/>
        <v>15853794.888766926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8" spans="1:28">
      <c r="A28" s="21" t="s">
        <v>30</v>
      </c>
      <c r="B28" s="22"/>
      <c r="C28" s="22"/>
      <c r="D28" s="22"/>
      <c r="E28" s="22"/>
      <c r="F28" s="21">
        <v>0</v>
      </c>
      <c r="G28" s="23">
        <f>F28+G29</f>
        <v>2365750</v>
      </c>
      <c r="H28" s="24">
        <f t="shared" ref="H28:L28" si="8">G28 + G29</f>
        <v>4731500</v>
      </c>
      <c r="I28" s="24">
        <f t="shared" ca="1" si="8"/>
        <v>7917076.923076923</v>
      </c>
      <c r="J28" s="24">
        <f t="shared" ca="1" si="8"/>
        <v>11912984.220907297</v>
      </c>
      <c r="K28" s="24">
        <f t="shared" ca="1" si="8"/>
        <v>16940091.172305666</v>
      </c>
      <c r="L28" s="24">
        <f t="shared" ca="1" si="8"/>
        <v>23252456.06619101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>
      <c r="A29" s="25" t="s">
        <v>31</v>
      </c>
      <c r="B29" s="26"/>
      <c r="C29" s="26"/>
      <c r="D29" s="26"/>
      <c r="E29" s="26"/>
      <c r="F29" s="26"/>
      <c r="G29" s="27">
        <f t="shared" ref="G29:L29" si="9">G26/G49</f>
        <v>2365750</v>
      </c>
      <c r="H29" s="27">
        <f t="shared" ca="1" si="9"/>
        <v>3185576.923076923</v>
      </c>
      <c r="I29" s="27">
        <f t="shared" ca="1" si="9"/>
        <v>3995907.2978303749</v>
      </c>
      <c r="J29" s="27">
        <f t="shared" ca="1" si="9"/>
        <v>5027106.9513983708</v>
      </c>
      <c r="K29" s="27">
        <f t="shared" ca="1" si="9"/>
        <v>6312364.8938853424</v>
      </c>
      <c r="L29" s="27">
        <f t="shared" ca="1" si="9"/>
        <v>7926897.4443834629</v>
      </c>
    </row>
    <row r="30" spans="1:28">
      <c r="A30" s="2" t="s">
        <v>32</v>
      </c>
      <c r="G30" s="28">
        <f t="shared" ref="G30:L30" si="10">G26/G29</f>
        <v>2</v>
      </c>
      <c r="H30" s="28">
        <f t="shared" ca="1" si="10"/>
        <v>2</v>
      </c>
      <c r="I30" s="28">
        <f t="shared" ca="1" si="10"/>
        <v>2</v>
      </c>
      <c r="J30" s="28">
        <f t="shared" ca="1" si="10"/>
        <v>2</v>
      </c>
      <c r="K30" s="28">
        <f t="shared" ca="1" si="10"/>
        <v>2</v>
      </c>
      <c r="L30" s="28">
        <f t="shared" ca="1" si="10"/>
        <v>2</v>
      </c>
    </row>
    <row r="32" spans="1:28">
      <c r="A32" s="2"/>
    </row>
    <row r="33" spans="1:28">
      <c r="A33" s="2" t="s">
        <v>33</v>
      </c>
      <c r="G33" s="4">
        <v>50000</v>
      </c>
      <c r="H33" s="29">
        <f t="shared" ref="H33:L33" si="11">G33*(1+$C$53)</f>
        <v>55000.000000000007</v>
      </c>
      <c r="I33" s="29">
        <f t="shared" si="11"/>
        <v>60500.000000000015</v>
      </c>
      <c r="J33" s="29">
        <f t="shared" si="11"/>
        <v>66550.000000000015</v>
      </c>
      <c r="K33" s="29">
        <f t="shared" si="11"/>
        <v>73205.000000000029</v>
      </c>
      <c r="L33" s="29">
        <f t="shared" si="11"/>
        <v>80525.500000000044</v>
      </c>
    </row>
    <row r="34" spans="1:28">
      <c r="B34" s="17"/>
      <c r="C34" s="11"/>
      <c r="D34" s="11"/>
      <c r="E34" s="11"/>
      <c r="F34" s="11"/>
      <c r="G34" s="11"/>
      <c r="H34" s="10"/>
      <c r="I34" s="10"/>
      <c r="J34" s="10"/>
      <c r="K34" s="10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6" spans="1:28">
      <c r="A36" s="30" t="s">
        <v>34</v>
      </c>
      <c r="B36" s="30"/>
      <c r="C36" s="30"/>
      <c r="D36" s="31"/>
      <c r="E36" s="30"/>
      <c r="F36" s="30"/>
      <c r="G36" s="32">
        <f t="shared" ref="G36:L36" si="12">INT(G28/G33)</f>
        <v>47</v>
      </c>
      <c r="H36" s="32">
        <f t="shared" si="12"/>
        <v>86</v>
      </c>
      <c r="I36" s="32">
        <f t="shared" ca="1" si="12"/>
        <v>130</v>
      </c>
      <c r="J36" s="32">
        <f t="shared" ca="1" si="12"/>
        <v>179</v>
      </c>
      <c r="K36" s="32">
        <f t="shared" ca="1" si="12"/>
        <v>231</v>
      </c>
      <c r="L36" s="32">
        <f t="shared" ca="1" si="12"/>
        <v>288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8">
      <c r="A37" s="2" t="s">
        <v>35</v>
      </c>
      <c r="B37" s="2"/>
      <c r="G37" s="28">
        <f>INT(G28/G33*(1+G50))</f>
        <v>56</v>
      </c>
      <c r="H37" s="28">
        <f t="shared" ref="H37:L37" ca="1" si="13">INT(((H29/H33)) * (1+H50))</f>
        <v>69</v>
      </c>
      <c r="I37" s="28">
        <f t="shared" ca="1" si="13"/>
        <v>79</v>
      </c>
      <c r="J37" s="28">
        <f t="shared" ca="1" si="13"/>
        <v>90</v>
      </c>
      <c r="K37" s="28">
        <f t="shared" ca="1" si="13"/>
        <v>103</v>
      </c>
      <c r="L37" s="28">
        <f t="shared" ca="1" si="13"/>
        <v>118</v>
      </c>
      <c r="M37" s="29"/>
    </row>
    <row r="38" spans="1:28">
      <c r="C38" s="33"/>
    </row>
    <row r="39" spans="1:28">
      <c r="A39" s="2" t="s">
        <v>36</v>
      </c>
      <c r="G39" s="29">
        <f t="shared" ref="G39:L39" si="14">G33*$C$57</f>
        <v>10000</v>
      </c>
      <c r="H39" s="29">
        <f t="shared" si="14"/>
        <v>11000.000000000002</v>
      </c>
      <c r="I39" s="29">
        <f t="shared" si="14"/>
        <v>12100.000000000004</v>
      </c>
      <c r="J39" s="29">
        <f t="shared" si="14"/>
        <v>13310.000000000004</v>
      </c>
      <c r="K39" s="29">
        <f t="shared" si="14"/>
        <v>14641.000000000007</v>
      </c>
      <c r="L39" s="29">
        <f t="shared" si="14"/>
        <v>16105.100000000009</v>
      </c>
    </row>
    <row r="40" spans="1:28">
      <c r="A40" s="2" t="s">
        <v>37</v>
      </c>
      <c r="G40" s="34">
        <f t="shared" ref="G40:L40" si="15">G21/G37</f>
        <v>21696.428571428572</v>
      </c>
      <c r="H40" s="29">
        <f t="shared" ca="1" si="15"/>
        <v>28688.963210702339</v>
      </c>
      <c r="I40" s="29">
        <f t="shared" ca="1" si="15"/>
        <v>27519.212044041644</v>
      </c>
      <c r="J40" s="29">
        <f t="shared" ca="1" si="15"/>
        <v>26905.618537062324</v>
      </c>
      <c r="K40" s="29">
        <f t="shared" ca="1" si="15"/>
        <v>26504.539558567791</v>
      </c>
      <c r="L40" s="29">
        <f t="shared" ca="1" si="15"/>
        <v>26419.113446203653</v>
      </c>
    </row>
    <row r="41" spans="1:28">
      <c r="A41" s="2" t="s">
        <v>39</v>
      </c>
      <c r="G41" s="35">
        <f t="shared" ref="G41:L41" si="16">G21/G28</f>
        <v>0.51357920321251194</v>
      </c>
      <c r="H41" s="35">
        <f t="shared" ca="1" si="16"/>
        <v>0.41837439745080029</v>
      </c>
      <c r="I41" s="35">
        <f t="shared" ca="1" si="16"/>
        <v>0.27459853840025233</v>
      </c>
      <c r="J41" s="35">
        <f t="shared" ca="1" si="16"/>
        <v>0.20326608542684585</v>
      </c>
      <c r="K41" s="35">
        <f t="shared" ca="1" si="16"/>
        <v>0.16115424331337377</v>
      </c>
      <c r="L41" s="35">
        <f t="shared" ca="1" si="16"/>
        <v>0.13406993987120355</v>
      </c>
    </row>
    <row r="43" spans="1:28">
      <c r="A43" s="2" t="s">
        <v>40</v>
      </c>
      <c r="G43" s="36">
        <f t="shared" ref="G43:L43" si="17">(G14/G28)</f>
        <v>1.18714995244637</v>
      </c>
      <c r="H43" s="36">
        <f t="shared" ca="1" si="17"/>
        <v>0.72822897276030529</v>
      </c>
      <c r="I43" s="36">
        <f t="shared" ca="1" si="17"/>
        <v>0.53615707986979433</v>
      </c>
      <c r="J43" s="36">
        <f t="shared" ca="1" si="17"/>
        <v>0.44071394178857354</v>
      </c>
      <c r="K43" s="36">
        <f t="shared" ca="1" si="17"/>
        <v>0.38445431886962972</v>
      </c>
      <c r="L43" s="36">
        <f t="shared" ca="1" si="17"/>
        <v>0.34826732621546425</v>
      </c>
    </row>
    <row r="45" spans="1:28">
      <c r="A45" s="2" t="s">
        <v>41</v>
      </c>
      <c r="G45" s="35">
        <f t="shared" ref="G45:L45" si="18">(G28-G24)/G28</f>
        <v>0.70072915565888194</v>
      </c>
      <c r="H45" s="35">
        <f t="shared" si="18"/>
        <v>0.80006340483990279</v>
      </c>
      <c r="I45" s="35">
        <f t="shared" ca="1" si="18"/>
        <v>0.80131555935562848</v>
      </c>
      <c r="J45" s="35">
        <f t="shared" ca="1" si="18"/>
        <v>0.80000896871677807</v>
      </c>
      <c r="K45" s="35">
        <f t="shared" ca="1" si="18"/>
        <v>0.80035107452496212</v>
      </c>
      <c r="L45" s="35">
        <f t="shared" ca="1" si="18"/>
        <v>0.80052563966590917</v>
      </c>
    </row>
    <row r="47" spans="1:28">
      <c r="A47" s="2" t="s">
        <v>42</v>
      </c>
      <c r="G47" s="35">
        <f t="shared" ref="G47:L47" si="19">(G28-G26) /G28</f>
        <v>-1</v>
      </c>
      <c r="H47" s="35">
        <f t="shared" ca="1" si="19"/>
        <v>-0.3465399653712028</v>
      </c>
      <c r="I47" s="35">
        <f t="shared" ca="1" si="19"/>
        <v>-9.4400589144181864E-3</v>
      </c>
      <c r="J47" s="35">
        <f t="shared" ca="1" si="19"/>
        <v>0.15602894150135882</v>
      </c>
      <c r="K47" s="35">
        <f t="shared" ca="1" si="19"/>
        <v>0.25474251234195866</v>
      </c>
      <c r="L47" s="35">
        <f t="shared" ca="1" si="19"/>
        <v>0.31818837357924146</v>
      </c>
    </row>
    <row r="48" spans="1:28">
      <c r="A48" s="2"/>
      <c r="G48" s="35"/>
      <c r="H48" s="35"/>
      <c r="I48" s="35"/>
      <c r="J48" s="35"/>
      <c r="K48" s="35"/>
      <c r="L48" s="35"/>
    </row>
    <row r="49" spans="1:13">
      <c r="A49" s="1" t="s">
        <v>44</v>
      </c>
      <c r="B49" s="39"/>
      <c r="C49" s="39"/>
      <c r="D49" s="39"/>
      <c r="E49" s="39"/>
      <c r="F49" s="39"/>
      <c r="G49" s="1">
        <v>2</v>
      </c>
      <c r="H49" s="1">
        <v>2</v>
      </c>
      <c r="I49" s="1">
        <v>2</v>
      </c>
      <c r="J49" s="1">
        <v>2</v>
      </c>
      <c r="K49" s="1">
        <v>2</v>
      </c>
      <c r="L49" s="1">
        <v>2</v>
      </c>
    </row>
    <row r="50" spans="1:13">
      <c r="A50" s="1" t="s">
        <v>45</v>
      </c>
      <c r="B50" s="2"/>
      <c r="G50" s="7">
        <v>0.2</v>
      </c>
      <c r="H50" s="7">
        <v>0.2</v>
      </c>
      <c r="I50" s="7">
        <v>0.2</v>
      </c>
      <c r="J50" s="7">
        <v>0.2</v>
      </c>
      <c r="K50" s="7">
        <v>0.2</v>
      </c>
      <c r="L50" s="7">
        <v>0.2</v>
      </c>
      <c r="M50" s="2"/>
    </row>
    <row r="51" spans="1:13">
      <c r="A51" s="1" t="s">
        <v>46</v>
      </c>
      <c r="B51" s="3"/>
      <c r="C51" s="5">
        <v>0.8</v>
      </c>
    </row>
    <row r="52" spans="1:13">
      <c r="A52" s="3"/>
      <c r="B52" s="3"/>
      <c r="C52" s="3"/>
    </row>
    <row r="53" spans="1:13">
      <c r="A53" s="1" t="s">
        <v>47</v>
      </c>
      <c r="B53" s="3"/>
      <c r="C53" s="5">
        <v>0.1</v>
      </c>
    </row>
    <row r="54" spans="1:13">
      <c r="A54" s="3"/>
      <c r="B54" s="3"/>
      <c r="C54" s="3"/>
    </row>
    <row r="55" spans="1:13">
      <c r="A55" s="1" t="s">
        <v>48</v>
      </c>
      <c r="B55" s="3"/>
      <c r="C55" s="5">
        <v>0.2</v>
      </c>
    </row>
    <row r="56" spans="1:13">
      <c r="A56" s="3"/>
      <c r="B56" s="3"/>
      <c r="C56" s="1"/>
    </row>
    <row r="57" spans="1:13">
      <c r="A57" s="1" t="s">
        <v>49</v>
      </c>
      <c r="B57" s="3"/>
      <c r="C57" s="5">
        <v>0.2</v>
      </c>
    </row>
    <row r="70" spans="1:28">
      <c r="B70" s="40" t="s">
        <v>0</v>
      </c>
      <c r="C70" s="40" t="s">
        <v>1</v>
      </c>
      <c r="D70" s="40" t="s">
        <v>2</v>
      </c>
      <c r="E70" s="40" t="s">
        <v>3</v>
      </c>
      <c r="F70" s="40" t="s">
        <v>4</v>
      </c>
      <c r="G70" s="40" t="s">
        <v>5</v>
      </c>
    </row>
    <row r="71" spans="1:28">
      <c r="A71" s="41" t="s">
        <v>50</v>
      </c>
      <c r="B71" s="42">
        <f t="shared" ref="B71:G71" si="20">G14</f>
        <v>2808500</v>
      </c>
      <c r="C71" s="42">
        <f t="shared" ca="1" si="20"/>
        <v>3445615.3846153845</v>
      </c>
      <c r="D71" s="42">
        <f t="shared" ca="1" si="20"/>
        <v>4244796.8441814594</v>
      </c>
      <c r="E71" s="42">
        <f t="shared" ca="1" si="20"/>
        <v>5250218.2344611334</v>
      </c>
      <c r="F71" s="42">
        <f t="shared" ca="1" si="20"/>
        <v>6512691.213238202</v>
      </c>
      <c r="G71" s="42">
        <f t="shared" ca="1" si="20"/>
        <v>8098070.702114895</v>
      </c>
    </row>
    <row r="72" spans="1:28">
      <c r="A72" s="41" t="s">
        <v>51</v>
      </c>
      <c r="B72" s="43">
        <f t="shared" ref="B72:G72" si="21">G21</f>
        <v>1215000</v>
      </c>
      <c r="C72" s="43">
        <f t="shared" ca="1" si="21"/>
        <v>1979538.4615384615</v>
      </c>
      <c r="D72" s="43">
        <f t="shared" ca="1" si="21"/>
        <v>2174017.75147929</v>
      </c>
      <c r="E72" s="43">
        <f t="shared" ca="1" si="21"/>
        <v>2421505.6683356091</v>
      </c>
      <c r="F72" s="43">
        <f t="shared" ca="1" si="21"/>
        <v>2729967.5745324823</v>
      </c>
      <c r="G72" s="43">
        <f t="shared" ca="1" si="21"/>
        <v>3117455.386652031</v>
      </c>
    </row>
    <row r="73" spans="1:28">
      <c r="A73" s="17" t="s">
        <v>28</v>
      </c>
      <c r="B73" s="43">
        <f t="shared" ref="B73:G73" si="22">G24</f>
        <v>708000</v>
      </c>
      <c r="C73" s="43">
        <f t="shared" si="22"/>
        <v>946000</v>
      </c>
      <c r="D73" s="43">
        <f t="shared" ca="1" si="22"/>
        <v>1573000</v>
      </c>
      <c r="E73" s="43">
        <f t="shared" ca="1" si="22"/>
        <v>2382490</v>
      </c>
      <c r="F73" s="43">
        <f t="shared" ca="1" si="22"/>
        <v>3382071.0000000009</v>
      </c>
      <c r="G73" s="43">
        <f t="shared" ca="1" si="22"/>
        <v>4638268.8000000007</v>
      </c>
    </row>
    <row r="74" spans="1:28">
      <c r="A74" s="44" t="s">
        <v>52</v>
      </c>
      <c r="B74" s="46">
        <f t="shared" ref="B74:G74" si="23">G28 - G26</f>
        <v>-2365750</v>
      </c>
      <c r="C74" s="46">
        <f t="shared" ca="1" si="23"/>
        <v>-1639653.846153846</v>
      </c>
      <c r="D74" s="46">
        <f t="shared" ca="1" si="23"/>
        <v>-74737.672583826818</v>
      </c>
      <c r="E74" s="46">
        <f t="shared" ca="1" si="23"/>
        <v>1858770.3181105554</v>
      </c>
      <c r="F74" s="46">
        <f t="shared" ca="1" si="23"/>
        <v>4315361.3845349811</v>
      </c>
      <c r="G74" s="46">
        <f t="shared" ca="1" si="23"/>
        <v>7398661.1774240844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</row>
    <row r="76" spans="1:28">
      <c r="A76" s="50" t="s">
        <v>54</v>
      </c>
      <c r="B76" s="51">
        <f t="shared" ref="B76:G76" si="24">MAX(0,(B74*20))</f>
        <v>0</v>
      </c>
      <c r="C76" s="51">
        <f t="shared" ca="1" si="24"/>
        <v>0</v>
      </c>
      <c r="D76" s="51">
        <f t="shared" ca="1" si="24"/>
        <v>0</v>
      </c>
      <c r="E76" s="51">
        <f t="shared" ca="1" si="24"/>
        <v>37175406.362211108</v>
      </c>
      <c r="F76" s="51">
        <f t="shared" ca="1" si="24"/>
        <v>86307227.690699622</v>
      </c>
      <c r="G76" s="51">
        <f t="shared" ca="1" si="24"/>
        <v>147973223.5484817</v>
      </c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</row>
    <row r="81" spans="1:1">
      <c r="A81" s="18"/>
    </row>
    <row r="83" spans="1:1">
      <c r="A83" s="18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B83"/>
  <sheetViews>
    <sheetView topLeftCell="A40" workbookViewId="0">
      <selection activeCell="I77" sqref="I77"/>
    </sheetView>
  </sheetViews>
  <sheetFormatPr defaultColWidth="14.42578125" defaultRowHeight="15.75" customHeight="1"/>
  <cols>
    <col min="1" max="1" width="28.140625" customWidth="1"/>
  </cols>
  <sheetData>
    <row r="1" spans="1:28">
      <c r="A1" s="1"/>
      <c r="B1" s="3"/>
      <c r="C1" s="1"/>
      <c r="D1" s="1"/>
      <c r="E1" s="3"/>
      <c r="F1" s="3"/>
      <c r="G1" s="2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</row>
    <row r="2" spans="1:28">
      <c r="A2" s="1" t="s">
        <v>6</v>
      </c>
      <c r="B2" s="3"/>
      <c r="C2" s="1" t="s">
        <v>7</v>
      </c>
      <c r="D2" s="1" t="s">
        <v>8</v>
      </c>
      <c r="E2" s="3"/>
      <c r="F2" s="1" t="s">
        <v>9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</row>
    <row r="3" spans="1:28">
      <c r="A3" s="3"/>
      <c r="B3" s="3"/>
      <c r="C3" s="3"/>
      <c r="D3" s="3"/>
      <c r="E3" s="3"/>
      <c r="F3" s="3"/>
    </row>
    <row r="4" spans="1:28">
      <c r="A4" s="1" t="s">
        <v>10</v>
      </c>
      <c r="B4" s="4">
        <v>250000</v>
      </c>
      <c r="C4" s="5">
        <v>1.3</v>
      </c>
      <c r="D4" s="1">
        <v>1</v>
      </c>
      <c r="E4" s="3"/>
      <c r="F4" s="6">
        <f t="shared" ref="F4:F13" si="0">B4*C4*D4</f>
        <v>325000</v>
      </c>
    </row>
    <row r="5" spans="1:28">
      <c r="A5" s="1" t="s">
        <v>11</v>
      </c>
      <c r="B5" s="4">
        <v>250000</v>
      </c>
      <c r="C5" s="5">
        <v>1.3</v>
      </c>
      <c r="D5" s="1">
        <v>1</v>
      </c>
      <c r="E5" s="3"/>
      <c r="F5" s="6">
        <f t="shared" si="0"/>
        <v>325000</v>
      </c>
    </row>
    <row r="6" spans="1:28">
      <c r="A6" s="1" t="s">
        <v>12</v>
      </c>
      <c r="B6" s="4">
        <v>250000</v>
      </c>
      <c r="C6" s="5">
        <v>1.3</v>
      </c>
      <c r="D6" s="1">
        <v>1</v>
      </c>
      <c r="E6" s="3"/>
      <c r="F6" s="6">
        <f t="shared" si="0"/>
        <v>325000</v>
      </c>
    </row>
    <row r="7" spans="1:28">
      <c r="A7" s="1" t="s">
        <v>13</v>
      </c>
      <c r="B7" s="4">
        <v>70000</v>
      </c>
      <c r="C7" s="5">
        <v>1.3</v>
      </c>
      <c r="D7" s="1">
        <v>1</v>
      </c>
      <c r="E7" s="3"/>
      <c r="F7" s="6">
        <f t="shared" si="0"/>
        <v>91000</v>
      </c>
    </row>
    <row r="8" spans="1:28">
      <c r="A8" s="1" t="s">
        <v>14</v>
      </c>
      <c r="B8" s="4">
        <v>100000</v>
      </c>
      <c r="C8" s="5">
        <v>1.3</v>
      </c>
      <c r="D8" s="1">
        <v>1</v>
      </c>
      <c r="E8" s="3"/>
      <c r="F8" s="6">
        <f t="shared" si="0"/>
        <v>130000</v>
      </c>
    </row>
    <row r="9" spans="1:28">
      <c r="A9" s="1" t="s">
        <v>15</v>
      </c>
      <c r="B9" s="4">
        <v>400000</v>
      </c>
      <c r="C9" s="5">
        <v>1</v>
      </c>
      <c r="D9" s="1">
        <v>1</v>
      </c>
      <c r="E9" s="3"/>
      <c r="F9" s="6">
        <f t="shared" si="0"/>
        <v>400000</v>
      </c>
    </row>
    <row r="10" spans="1:28">
      <c r="A10" s="1" t="s">
        <v>16</v>
      </c>
      <c r="B10" s="4">
        <v>300000</v>
      </c>
      <c r="C10" s="5">
        <v>1</v>
      </c>
      <c r="D10" s="1">
        <v>1</v>
      </c>
      <c r="E10" s="3"/>
      <c r="F10" s="6">
        <f t="shared" si="0"/>
        <v>300000</v>
      </c>
    </row>
    <row r="11" spans="1:28">
      <c r="A11" s="1"/>
      <c r="B11" s="3"/>
      <c r="C11" s="3"/>
      <c r="D11" s="3"/>
      <c r="E11" s="3"/>
      <c r="F11" s="3">
        <f t="shared" si="0"/>
        <v>0</v>
      </c>
    </row>
    <row r="12" spans="1:28">
      <c r="A12" s="1" t="s">
        <v>17</v>
      </c>
      <c r="B12" s="4">
        <v>125000</v>
      </c>
      <c r="C12" s="5">
        <v>1.3</v>
      </c>
      <c r="D12" s="1">
        <v>5</v>
      </c>
      <c r="E12" s="3"/>
      <c r="F12" s="6">
        <f t="shared" si="0"/>
        <v>812500</v>
      </c>
    </row>
    <row r="13" spans="1:28">
      <c r="A13" s="1" t="s">
        <v>18</v>
      </c>
      <c r="B13" s="4">
        <v>100000</v>
      </c>
      <c r="C13" s="7">
        <v>1</v>
      </c>
      <c r="D13" s="1">
        <v>1</v>
      </c>
      <c r="E13" s="3"/>
      <c r="F13" s="6">
        <f t="shared" si="0"/>
        <v>100000</v>
      </c>
    </row>
    <row r="14" spans="1:28">
      <c r="A14" s="8" t="s">
        <v>19</v>
      </c>
      <c r="B14" s="9"/>
      <c r="C14" s="9"/>
      <c r="D14" s="9"/>
      <c r="E14" s="9"/>
      <c r="F14" s="9"/>
      <c r="G14" s="10">
        <f>SUM(F4:F13)</f>
        <v>2808500</v>
      </c>
      <c r="H14" s="10">
        <f t="shared" ref="H14:L14" ca="1" si="1">G14 + H29*$C$55</f>
        <v>3646198.4126984128</v>
      </c>
      <c r="I14" s="10">
        <f t="shared" ca="1" si="1"/>
        <v>4598869.4281365518</v>
      </c>
      <c r="J14" s="10">
        <f t="shared" ca="1" si="1"/>
        <v>5666563.3351409556</v>
      </c>
      <c r="K14" s="10">
        <f t="shared" ca="1" si="1"/>
        <v>6848894.9840808436</v>
      </c>
      <c r="L14" s="10">
        <f t="shared" ca="1" si="1"/>
        <v>8146222.4485547123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>
      <c r="A15" s="1" t="s">
        <v>20</v>
      </c>
      <c r="B15" s="4">
        <v>150000</v>
      </c>
      <c r="C15" s="5">
        <v>1.3</v>
      </c>
      <c r="D15" s="1">
        <v>2</v>
      </c>
      <c r="E15" s="3"/>
      <c r="F15" s="6">
        <f t="shared" ref="F15:F16" si="2">B15*C15*D15</f>
        <v>390000</v>
      </c>
    </row>
    <row r="16" spans="1:28">
      <c r="A16" s="1" t="s">
        <v>21</v>
      </c>
      <c r="B16" s="4">
        <v>100000</v>
      </c>
      <c r="C16" s="5">
        <v>1</v>
      </c>
      <c r="D16" s="1">
        <v>1</v>
      </c>
      <c r="E16" s="3"/>
      <c r="F16" s="6">
        <f t="shared" si="2"/>
        <v>100000</v>
      </c>
    </row>
    <row r="17" spans="1:28">
      <c r="A17" s="3"/>
      <c r="B17" s="3"/>
      <c r="C17" s="3"/>
      <c r="D17" s="3"/>
      <c r="E17" s="3"/>
      <c r="F17" s="3"/>
    </row>
    <row r="18" spans="1:28">
      <c r="A18" s="1" t="s">
        <v>22</v>
      </c>
      <c r="B18" s="4">
        <v>125000</v>
      </c>
      <c r="C18" s="5">
        <v>1.3</v>
      </c>
      <c r="D18" s="1">
        <v>2</v>
      </c>
      <c r="E18" s="3"/>
      <c r="F18" s="6">
        <f t="shared" ref="F18:F20" si="3">B18*C18*D18</f>
        <v>325000</v>
      </c>
    </row>
    <row r="19" spans="1:28">
      <c r="A19" s="1" t="s">
        <v>23</v>
      </c>
      <c r="B19" s="4">
        <v>300000</v>
      </c>
      <c r="C19" s="5">
        <v>1</v>
      </c>
      <c r="D19" s="1">
        <v>1</v>
      </c>
      <c r="E19" s="3"/>
      <c r="F19" s="6">
        <f t="shared" si="3"/>
        <v>300000</v>
      </c>
    </row>
    <row r="20" spans="1:28">
      <c r="A20" s="1" t="s">
        <v>24</v>
      </c>
      <c r="B20" s="4">
        <v>100000</v>
      </c>
      <c r="C20" s="5">
        <v>1</v>
      </c>
      <c r="D20" s="1">
        <v>1</v>
      </c>
      <c r="E20" s="3"/>
      <c r="F20" s="6">
        <f t="shared" si="3"/>
        <v>100000</v>
      </c>
    </row>
    <row r="21" spans="1:28">
      <c r="A21" s="12" t="s">
        <v>25</v>
      </c>
      <c r="B21" s="13"/>
      <c r="C21" s="13"/>
      <c r="D21" s="13"/>
      <c r="E21" s="13"/>
      <c r="F21" s="13"/>
      <c r="G21" s="14">
        <f>SUM(F15:F20)</f>
        <v>1215000</v>
      </c>
      <c r="H21" s="15">
        <f t="shared" ref="H21:L21" ca="1" si="4">$G$21 + H29*($C$57)*(1+H50)</f>
        <v>2220238.0952380951</v>
      </c>
      <c r="I21" s="15">
        <f t="shared" ca="1" si="4"/>
        <v>2358205.2185257664</v>
      </c>
      <c r="J21" s="15">
        <f t="shared" ca="1" si="4"/>
        <v>2496232.6884052847</v>
      </c>
      <c r="K21" s="15">
        <f t="shared" ca="1" si="4"/>
        <v>2633797.978727865</v>
      </c>
      <c r="L21" s="15">
        <f t="shared" ca="1" si="4"/>
        <v>2771792.9573686421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>
      <c r="A22" s="1" t="s">
        <v>26</v>
      </c>
      <c r="B22" s="4">
        <v>500000</v>
      </c>
      <c r="C22" s="5">
        <v>1</v>
      </c>
      <c r="D22" s="1">
        <v>1</v>
      </c>
      <c r="E22" s="3"/>
      <c r="F22" s="6">
        <f t="shared" ref="F22:F23" si="5">B22*C22*D22</f>
        <v>500000</v>
      </c>
    </row>
    <row r="23" spans="1:28">
      <c r="A23" s="1" t="s">
        <v>27</v>
      </c>
      <c r="B23" s="4">
        <v>80000</v>
      </c>
      <c r="C23" s="5">
        <v>1.3</v>
      </c>
      <c r="D23" s="1">
        <v>2</v>
      </c>
      <c r="E23" s="3"/>
      <c r="F23" s="6">
        <f t="shared" si="5"/>
        <v>208000</v>
      </c>
    </row>
    <row r="24" spans="1:28">
      <c r="A24" s="1"/>
      <c r="B24" s="3"/>
      <c r="C24" s="1"/>
      <c r="D24" s="1"/>
      <c r="E24" s="3"/>
      <c r="F24" s="3"/>
      <c r="G24" s="15">
        <f>SUM(F22:F23)</f>
        <v>708000</v>
      </c>
      <c r="H24" s="15">
        <f t="shared" ref="H24:L24" si="6">H36*H33*(1 - $C51)</f>
        <v>1254000</v>
      </c>
      <c r="I24" s="15">
        <f t="shared" ca="1" si="6"/>
        <v>2093300</v>
      </c>
      <c r="J24" s="15">
        <f t="shared" ca="1" si="6"/>
        <v>3047990</v>
      </c>
      <c r="K24" s="15">
        <f t="shared" ca="1" si="6"/>
        <v>4114121.0000000005</v>
      </c>
      <c r="L24" s="15">
        <f t="shared" ca="1" si="6"/>
        <v>5298577.9000000022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6" spans="1:28">
      <c r="A26" s="18" t="s">
        <v>29</v>
      </c>
      <c r="B26" s="19"/>
      <c r="C26" s="19"/>
      <c r="D26" s="19"/>
      <c r="E26" s="19"/>
      <c r="F26" s="19"/>
      <c r="G26" s="20">
        <f t="shared" ref="G26:L26" si="7">SUM(G14:G24)</f>
        <v>4731500</v>
      </c>
      <c r="H26" s="20">
        <f t="shared" ca="1" si="7"/>
        <v>7120436.5079365075</v>
      </c>
      <c r="I26" s="20">
        <f t="shared" ca="1" si="7"/>
        <v>9050374.6466623172</v>
      </c>
      <c r="J26" s="20">
        <f t="shared" ca="1" si="7"/>
        <v>11210786.023546241</v>
      </c>
      <c r="K26" s="20">
        <f t="shared" ca="1" si="7"/>
        <v>13596813.96280871</v>
      </c>
      <c r="L26" s="20">
        <f t="shared" ca="1" si="7"/>
        <v>16216593.305923358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8" spans="1:28">
      <c r="A28" s="21" t="s">
        <v>30</v>
      </c>
      <c r="B28" s="22"/>
      <c r="C28" s="22"/>
      <c r="D28" s="22"/>
      <c r="E28" s="22"/>
      <c r="F28" s="21">
        <v>0</v>
      </c>
      <c r="G28" s="23">
        <f>F28+G29</f>
        <v>3154333.3333333335</v>
      </c>
      <c r="H28" s="24">
        <f t="shared" ref="H28:L28" si="8">G28 + G29</f>
        <v>6308666.666666667</v>
      </c>
      <c r="I28" s="24">
        <f t="shared" ca="1" si="8"/>
        <v>10497158.730158731</v>
      </c>
      <c r="J28" s="24">
        <f t="shared" ca="1" si="8"/>
        <v>15260513.807349425</v>
      </c>
      <c r="K28" s="24">
        <f t="shared" ca="1" si="8"/>
        <v>20598983.342371445</v>
      </c>
      <c r="L28" s="24">
        <f t="shared" ca="1" si="8"/>
        <v>26510641.587070882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>
      <c r="A29" s="25" t="s">
        <v>31</v>
      </c>
      <c r="B29" s="26"/>
      <c r="C29" s="26"/>
      <c r="D29" s="26"/>
      <c r="E29" s="26"/>
      <c r="F29" s="26"/>
      <c r="G29" s="27">
        <f t="shared" ref="G29:L29" si="9">G26/G49</f>
        <v>3154333.3333333335</v>
      </c>
      <c r="H29" s="27">
        <f t="shared" ca="1" si="9"/>
        <v>4188492.0634920634</v>
      </c>
      <c r="I29" s="27">
        <f t="shared" ca="1" si="9"/>
        <v>4763355.0771906935</v>
      </c>
      <c r="J29" s="27">
        <f t="shared" ca="1" si="9"/>
        <v>5338469.5350220194</v>
      </c>
      <c r="K29" s="27">
        <f t="shared" ca="1" si="9"/>
        <v>5911658.244699439</v>
      </c>
      <c r="L29" s="27">
        <f t="shared" ca="1" si="9"/>
        <v>6486637.3223693427</v>
      </c>
    </row>
    <row r="30" spans="1:28">
      <c r="A30" s="2" t="s">
        <v>32</v>
      </c>
      <c r="G30" s="28">
        <f t="shared" ref="G30:L30" si="10">G26/G29</f>
        <v>1.5</v>
      </c>
      <c r="H30" s="28">
        <f t="shared" ca="1" si="10"/>
        <v>1.7</v>
      </c>
      <c r="I30" s="28">
        <f t="shared" ca="1" si="10"/>
        <v>1.9</v>
      </c>
      <c r="J30" s="28">
        <f t="shared" ca="1" si="10"/>
        <v>2.1</v>
      </c>
      <c r="K30" s="28">
        <f t="shared" ca="1" si="10"/>
        <v>2.2999999999999998</v>
      </c>
      <c r="L30" s="28">
        <f t="shared" ca="1" si="10"/>
        <v>2.5</v>
      </c>
    </row>
    <row r="32" spans="1:28">
      <c r="A32" s="2"/>
    </row>
    <row r="33" spans="1:28">
      <c r="A33" s="2" t="s">
        <v>33</v>
      </c>
      <c r="G33" s="4">
        <v>50000</v>
      </c>
      <c r="H33" s="29">
        <f t="shared" ref="H33:L33" si="11">G33*(1+$C$53)</f>
        <v>55000.000000000007</v>
      </c>
      <c r="I33" s="29">
        <f t="shared" si="11"/>
        <v>60500.000000000015</v>
      </c>
      <c r="J33" s="29">
        <f t="shared" si="11"/>
        <v>66550.000000000015</v>
      </c>
      <c r="K33" s="29">
        <f t="shared" si="11"/>
        <v>73205.000000000029</v>
      </c>
      <c r="L33" s="29">
        <f t="shared" si="11"/>
        <v>80525.500000000044</v>
      </c>
    </row>
    <row r="34" spans="1:28">
      <c r="B34" s="17"/>
      <c r="C34" s="11"/>
      <c r="D34" s="11"/>
      <c r="E34" s="11"/>
      <c r="F34" s="11"/>
      <c r="G34" s="11"/>
      <c r="H34" s="10"/>
      <c r="I34" s="10"/>
      <c r="J34" s="10"/>
      <c r="K34" s="10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6" spans="1:28">
      <c r="A36" s="30" t="s">
        <v>34</v>
      </c>
      <c r="B36" s="30"/>
      <c r="C36" s="30"/>
      <c r="D36" s="31"/>
      <c r="E36" s="30"/>
      <c r="F36" s="30"/>
      <c r="G36" s="32">
        <f t="shared" ref="G36:L36" si="12">INT(G28/G33)</f>
        <v>63</v>
      </c>
      <c r="H36" s="32">
        <f t="shared" si="12"/>
        <v>114</v>
      </c>
      <c r="I36" s="32">
        <f t="shared" ca="1" si="12"/>
        <v>173</v>
      </c>
      <c r="J36" s="32">
        <f t="shared" ca="1" si="12"/>
        <v>229</v>
      </c>
      <c r="K36" s="32">
        <f t="shared" ca="1" si="12"/>
        <v>281</v>
      </c>
      <c r="L36" s="32">
        <f t="shared" ca="1" si="12"/>
        <v>329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8">
      <c r="A37" s="2" t="s">
        <v>35</v>
      </c>
      <c r="B37" s="2"/>
      <c r="G37" s="28">
        <f>INT(G28/G33*(1+G50))</f>
        <v>75</v>
      </c>
      <c r="H37" s="28">
        <f t="shared" ref="H37:L37" ca="1" si="13">INT(((H29/H33)) * (1+H50))</f>
        <v>91</v>
      </c>
      <c r="I37" s="28">
        <f t="shared" ca="1" si="13"/>
        <v>94</v>
      </c>
      <c r="J37" s="28">
        <f t="shared" ca="1" si="13"/>
        <v>96</v>
      </c>
      <c r="K37" s="28">
        <f t="shared" ca="1" si="13"/>
        <v>96</v>
      </c>
      <c r="L37" s="28">
        <f t="shared" ca="1" si="13"/>
        <v>96</v>
      </c>
      <c r="M37" s="29"/>
    </row>
    <row r="38" spans="1:28">
      <c r="C38" s="33"/>
    </row>
    <row r="39" spans="1:28">
      <c r="A39" s="2" t="s">
        <v>36</v>
      </c>
      <c r="G39" s="29">
        <f t="shared" ref="G39:L39" si="14">G33*$C$57</f>
        <v>10000</v>
      </c>
      <c r="H39" s="29">
        <f t="shared" si="14"/>
        <v>11000.000000000002</v>
      </c>
      <c r="I39" s="29">
        <f t="shared" si="14"/>
        <v>12100.000000000004</v>
      </c>
      <c r="J39" s="29">
        <f t="shared" si="14"/>
        <v>13310.000000000004</v>
      </c>
      <c r="K39" s="29">
        <f t="shared" si="14"/>
        <v>14641.000000000007</v>
      </c>
      <c r="L39" s="29">
        <f t="shared" si="14"/>
        <v>16105.100000000009</v>
      </c>
    </row>
    <row r="40" spans="1:28">
      <c r="A40" s="2" t="s">
        <v>37</v>
      </c>
      <c r="G40" s="34">
        <f t="shared" ref="G40:L40" si="15">G21/G37</f>
        <v>16200</v>
      </c>
      <c r="H40" s="29">
        <f t="shared" ca="1" si="15"/>
        <v>24398.220826792254</v>
      </c>
      <c r="I40" s="29">
        <f t="shared" ca="1" si="15"/>
        <v>25087.289558784749</v>
      </c>
      <c r="J40" s="29">
        <f t="shared" ca="1" si="15"/>
        <v>26002.423837555049</v>
      </c>
      <c r="K40" s="29">
        <f t="shared" ca="1" si="15"/>
        <v>27435.395611748594</v>
      </c>
      <c r="L40" s="29">
        <f t="shared" ca="1" si="15"/>
        <v>28872.843305923354</v>
      </c>
    </row>
    <row r="41" spans="1:28">
      <c r="A41" s="2" t="s">
        <v>39</v>
      </c>
      <c r="G41" s="35">
        <f t="shared" ref="G41:L41" si="16">G21/G28</f>
        <v>0.3851844024093839</v>
      </c>
      <c r="H41" s="35">
        <f t="shared" ca="1" si="16"/>
        <v>0.35193460243655739</v>
      </c>
      <c r="I41" s="35">
        <f t="shared" ca="1" si="16"/>
        <v>0.22465176331482481</v>
      </c>
      <c r="J41" s="35">
        <f t="shared" ca="1" si="16"/>
        <v>0.16357461615762278</v>
      </c>
      <c r="K41" s="35">
        <f t="shared" ca="1" si="16"/>
        <v>0.12786058102732806</v>
      </c>
      <c r="L41" s="35">
        <f t="shared" ca="1" si="16"/>
        <v>0.10455397498642328</v>
      </c>
    </row>
    <row r="43" spans="1:28">
      <c r="A43" s="2" t="s">
        <v>40</v>
      </c>
      <c r="G43" s="36">
        <f t="shared" ref="G43:L43" si="17">(G14/G28)</f>
        <v>0.8903624643347775</v>
      </c>
      <c r="H43" s="36">
        <f t="shared" ca="1" si="17"/>
        <v>0.57796656652727663</v>
      </c>
      <c r="I43" s="36">
        <f t="shared" ca="1" si="17"/>
        <v>0.43810611484075468</v>
      </c>
      <c r="J43" s="36">
        <f t="shared" ca="1" si="17"/>
        <v>0.37132192314599216</v>
      </c>
      <c r="K43" s="36">
        <f t="shared" ca="1" si="17"/>
        <v>0.3324870392993079</v>
      </c>
      <c r="L43" s="36">
        <f t="shared" ca="1" si="17"/>
        <v>0.30728122598615598</v>
      </c>
    </row>
    <row r="45" spans="1:28">
      <c r="A45" s="2" t="s">
        <v>41</v>
      </c>
      <c r="G45" s="35">
        <f t="shared" ref="G45:L45" si="18">(G28-G24)/G28</f>
        <v>0.77554686674416151</v>
      </c>
      <c r="H45" s="35">
        <f t="shared" si="18"/>
        <v>0.80122582690478705</v>
      </c>
      <c r="I45" s="35">
        <f t="shared" ca="1" si="18"/>
        <v>0.80058413387749672</v>
      </c>
      <c r="J45" s="35">
        <f t="shared" ca="1" si="18"/>
        <v>0.80026950347293713</v>
      </c>
      <c r="K45" s="35">
        <f t="shared" ca="1" si="18"/>
        <v>0.80027553148521724</v>
      </c>
      <c r="L45" s="35">
        <f t="shared" ca="1" si="18"/>
        <v>0.80013392423576446</v>
      </c>
    </row>
    <row r="47" spans="1:28">
      <c r="A47" s="2" t="s">
        <v>42</v>
      </c>
      <c r="G47" s="35">
        <f t="shared" ref="G47:L47" si="19">(G28-G26) /G28</f>
        <v>-0.49999999999999994</v>
      </c>
      <c r="H47" s="35">
        <f t="shared" ca="1" si="19"/>
        <v>-0.12867534205904688</v>
      </c>
      <c r="I47" s="35">
        <f t="shared" ca="1" si="19"/>
        <v>0.13782625572191731</v>
      </c>
      <c r="J47" s="35">
        <f t="shared" ca="1" si="19"/>
        <v>0.26537296416932205</v>
      </c>
      <c r="K47" s="35">
        <f t="shared" ca="1" si="19"/>
        <v>0.33992791115858123</v>
      </c>
      <c r="L47" s="35">
        <f t="shared" ca="1" si="19"/>
        <v>0.38829872326318515</v>
      </c>
    </row>
    <row r="48" spans="1:28">
      <c r="A48" s="2"/>
      <c r="G48" s="35"/>
      <c r="H48" s="35"/>
      <c r="I48" s="35"/>
      <c r="J48" s="35"/>
      <c r="K48" s="35"/>
      <c r="L48" s="35"/>
    </row>
    <row r="49" spans="1:13">
      <c r="A49" s="1" t="s">
        <v>44</v>
      </c>
      <c r="B49" s="39"/>
      <c r="C49" s="39"/>
      <c r="D49" s="39"/>
      <c r="E49" s="39"/>
      <c r="F49" s="39"/>
      <c r="G49" s="1">
        <v>1.5</v>
      </c>
      <c r="H49" s="1">
        <v>1.7</v>
      </c>
      <c r="I49" s="1">
        <v>1.9</v>
      </c>
      <c r="J49" s="1">
        <v>2.1</v>
      </c>
      <c r="K49" s="1">
        <v>2.2999999999999998</v>
      </c>
      <c r="L49" s="1">
        <v>2.5</v>
      </c>
    </row>
    <row r="50" spans="1:13">
      <c r="A50" s="1" t="s">
        <v>45</v>
      </c>
      <c r="B50" s="2"/>
      <c r="G50" s="7">
        <v>0.2</v>
      </c>
      <c r="H50" s="7">
        <v>0.2</v>
      </c>
      <c r="I50" s="7">
        <v>0.2</v>
      </c>
      <c r="J50" s="7">
        <v>0.2</v>
      </c>
      <c r="K50" s="7">
        <v>0.2</v>
      </c>
      <c r="L50" s="7">
        <v>0.2</v>
      </c>
      <c r="M50" s="2"/>
    </row>
    <row r="51" spans="1:13">
      <c r="A51" s="1" t="s">
        <v>46</v>
      </c>
      <c r="B51" s="3"/>
      <c r="C51" s="5">
        <v>0.8</v>
      </c>
    </row>
    <row r="52" spans="1:13">
      <c r="A52" s="3"/>
      <c r="B52" s="3"/>
      <c r="C52" s="3"/>
    </row>
    <row r="53" spans="1:13">
      <c r="A53" s="1" t="s">
        <v>47</v>
      </c>
      <c r="B53" s="3"/>
      <c r="C53" s="5">
        <v>0.1</v>
      </c>
    </row>
    <row r="54" spans="1:13">
      <c r="A54" s="3"/>
      <c r="B54" s="3"/>
      <c r="C54" s="3"/>
    </row>
    <row r="55" spans="1:13">
      <c r="A55" s="1" t="s">
        <v>48</v>
      </c>
      <c r="B55" s="3"/>
      <c r="C55" s="5">
        <v>0.2</v>
      </c>
    </row>
    <row r="56" spans="1:13">
      <c r="A56" s="3"/>
      <c r="B56" s="3"/>
      <c r="C56" s="1"/>
    </row>
    <row r="57" spans="1:13">
      <c r="A57" s="1" t="s">
        <v>53</v>
      </c>
      <c r="B57" s="3"/>
      <c r="C57" s="48">
        <v>0.2</v>
      </c>
    </row>
    <row r="70" spans="1:28">
      <c r="B70" s="40" t="s">
        <v>0</v>
      </c>
      <c r="C70" s="40" t="s">
        <v>1</v>
      </c>
      <c r="D70" s="40" t="s">
        <v>2</v>
      </c>
      <c r="E70" s="40" t="s">
        <v>3</v>
      </c>
      <c r="F70" s="40" t="s">
        <v>4</v>
      </c>
      <c r="G70" s="40" t="s">
        <v>5</v>
      </c>
    </row>
    <row r="71" spans="1:28">
      <c r="A71" s="41" t="s">
        <v>50</v>
      </c>
      <c r="B71" s="42">
        <f t="shared" ref="B71:G71" si="20">G14</f>
        <v>2808500</v>
      </c>
      <c r="C71" s="42">
        <f t="shared" ca="1" si="20"/>
        <v>3646198.4126984128</v>
      </c>
      <c r="D71" s="42">
        <f t="shared" ca="1" si="20"/>
        <v>4598869.4281365518</v>
      </c>
      <c r="E71" s="42">
        <f t="shared" ca="1" si="20"/>
        <v>5666563.3351409556</v>
      </c>
      <c r="F71" s="42">
        <f t="shared" ca="1" si="20"/>
        <v>6848894.9840808436</v>
      </c>
      <c r="G71" s="42">
        <f t="shared" ca="1" si="20"/>
        <v>8146222.4485547123</v>
      </c>
    </row>
    <row r="72" spans="1:28">
      <c r="A72" s="41" t="s">
        <v>51</v>
      </c>
      <c r="B72" s="43">
        <f t="shared" ref="B72:G72" si="21">G21</f>
        <v>1215000</v>
      </c>
      <c r="C72" s="43">
        <f t="shared" ca="1" si="21"/>
        <v>2220238.0952380951</v>
      </c>
      <c r="D72" s="43">
        <f t="shared" ca="1" si="21"/>
        <v>2358205.2185257664</v>
      </c>
      <c r="E72" s="43">
        <f t="shared" ca="1" si="21"/>
        <v>2496232.6884052847</v>
      </c>
      <c r="F72" s="43">
        <f t="shared" ca="1" si="21"/>
        <v>2633797.978727865</v>
      </c>
      <c r="G72" s="43">
        <f t="shared" ca="1" si="21"/>
        <v>2771792.9573686421</v>
      </c>
    </row>
    <row r="73" spans="1:28">
      <c r="A73" s="17" t="s">
        <v>28</v>
      </c>
      <c r="B73" s="43">
        <f t="shared" ref="B73:G73" si="22">G24</f>
        <v>708000</v>
      </c>
      <c r="C73" s="43">
        <f t="shared" si="22"/>
        <v>1254000</v>
      </c>
      <c r="D73" s="43">
        <f t="shared" ca="1" si="22"/>
        <v>2093300</v>
      </c>
      <c r="E73" s="43">
        <f t="shared" ca="1" si="22"/>
        <v>3047990</v>
      </c>
      <c r="F73" s="43">
        <f t="shared" ca="1" si="22"/>
        <v>4114121.0000000005</v>
      </c>
      <c r="G73" s="43">
        <f t="shared" ca="1" si="22"/>
        <v>5298577.9000000022</v>
      </c>
    </row>
    <row r="74" spans="1:28">
      <c r="A74" s="44" t="s">
        <v>52</v>
      </c>
      <c r="B74" s="46">
        <f t="shared" ref="B74:G74" si="23">G28 - G26</f>
        <v>-1577166.6666666665</v>
      </c>
      <c r="C74" s="46">
        <f t="shared" ca="1" si="23"/>
        <v>-811769.84126984049</v>
      </c>
      <c r="D74" s="46">
        <f t="shared" ca="1" si="23"/>
        <v>1446784.0834964141</v>
      </c>
      <c r="E74" s="46">
        <f t="shared" ca="1" si="23"/>
        <v>4049727.7838031836</v>
      </c>
      <c r="F74" s="46">
        <f t="shared" ca="1" si="23"/>
        <v>7002169.3795627356</v>
      </c>
      <c r="G74" s="46">
        <f t="shared" ca="1" si="23"/>
        <v>10294048.281147525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</row>
    <row r="76" spans="1:28">
      <c r="A76" s="52" t="s">
        <v>54</v>
      </c>
      <c r="B76" s="54">
        <f t="shared" ref="B76:G76" si="24">MAX(0,(B74*20))</f>
        <v>0</v>
      </c>
      <c r="C76" s="54">
        <f t="shared" ca="1" si="24"/>
        <v>0</v>
      </c>
      <c r="D76" s="54">
        <f t="shared" ca="1" si="24"/>
        <v>28935681.669928282</v>
      </c>
      <c r="E76" s="54">
        <f t="shared" ca="1" si="24"/>
        <v>80994555.676063672</v>
      </c>
      <c r="F76" s="54">
        <f t="shared" ca="1" si="24"/>
        <v>140043387.59125471</v>
      </c>
      <c r="G76" s="54">
        <f t="shared" ca="1" si="24"/>
        <v>205880965.62295049</v>
      </c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</row>
    <row r="81" spans="1:1">
      <c r="A81" s="18"/>
    </row>
    <row r="83" spans="1:1">
      <c r="A83" s="18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B83"/>
  <sheetViews>
    <sheetView topLeftCell="A40" workbookViewId="0">
      <selection activeCell="L75" sqref="L75"/>
    </sheetView>
  </sheetViews>
  <sheetFormatPr defaultColWidth="14.42578125" defaultRowHeight="15.75" customHeight="1"/>
  <cols>
    <col min="1" max="1" width="28.140625" customWidth="1"/>
  </cols>
  <sheetData>
    <row r="1" spans="1:28">
      <c r="A1" s="1"/>
      <c r="B1" s="3"/>
      <c r="C1" s="1"/>
      <c r="D1" s="1"/>
      <c r="E1" s="3"/>
      <c r="F1" s="3"/>
      <c r="G1" s="2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</row>
    <row r="2" spans="1:28">
      <c r="A2" s="1" t="s">
        <v>6</v>
      </c>
      <c r="B2" s="3"/>
      <c r="C2" s="1" t="s">
        <v>7</v>
      </c>
      <c r="D2" s="1" t="s">
        <v>8</v>
      </c>
      <c r="E2" s="3"/>
      <c r="F2" s="1" t="s">
        <v>9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</row>
    <row r="3" spans="1:28">
      <c r="A3" s="3"/>
      <c r="B3" s="3"/>
      <c r="C3" s="3"/>
      <c r="D3" s="3"/>
      <c r="E3" s="3"/>
      <c r="F3" s="3"/>
    </row>
    <row r="4" spans="1:28">
      <c r="A4" s="1" t="s">
        <v>10</v>
      </c>
      <c r="B4" s="4">
        <v>250000</v>
      </c>
      <c r="C4" s="5">
        <v>1.3</v>
      </c>
      <c r="D4" s="1">
        <v>1</v>
      </c>
      <c r="E4" s="3"/>
      <c r="F4" s="6">
        <f t="shared" ref="F4:F13" si="0">B4*C4*D4</f>
        <v>325000</v>
      </c>
    </row>
    <row r="5" spans="1:28">
      <c r="A5" s="1" t="s">
        <v>11</v>
      </c>
      <c r="B5" s="4">
        <v>250000</v>
      </c>
      <c r="C5" s="5">
        <v>1.3</v>
      </c>
      <c r="D5" s="1">
        <v>1</v>
      </c>
      <c r="E5" s="3"/>
      <c r="F5" s="6">
        <f t="shared" si="0"/>
        <v>325000</v>
      </c>
    </row>
    <row r="6" spans="1:28">
      <c r="A6" s="1" t="s">
        <v>12</v>
      </c>
      <c r="B6" s="4">
        <v>250000</v>
      </c>
      <c r="C6" s="5">
        <v>1.3</v>
      </c>
      <c r="D6" s="1">
        <v>1</v>
      </c>
      <c r="E6" s="3"/>
      <c r="F6" s="6">
        <f t="shared" si="0"/>
        <v>325000</v>
      </c>
    </row>
    <row r="7" spans="1:28">
      <c r="A7" s="1" t="s">
        <v>13</v>
      </c>
      <c r="B7" s="4">
        <v>70000</v>
      </c>
      <c r="C7" s="5">
        <v>1.3</v>
      </c>
      <c r="D7" s="1">
        <v>1</v>
      </c>
      <c r="E7" s="3"/>
      <c r="F7" s="6">
        <f t="shared" si="0"/>
        <v>91000</v>
      </c>
    </row>
    <row r="8" spans="1:28">
      <c r="A8" s="1" t="s">
        <v>14</v>
      </c>
      <c r="B8" s="4">
        <v>100000</v>
      </c>
      <c r="C8" s="5">
        <v>1.3</v>
      </c>
      <c r="D8" s="1">
        <v>1</v>
      </c>
      <c r="E8" s="3"/>
      <c r="F8" s="6">
        <f t="shared" si="0"/>
        <v>130000</v>
      </c>
    </row>
    <row r="9" spans="1:28">
      <c r="A9" s="1" t="s">
        <v>15</v>
      </c>
      <c r="B9" s="4">
        <v>400000</v>
      </c>
      <c r="C9" s="5">
        <v>1</v>
      </c>
      <c r="D9" s="1">
        <v>1</v>
      </c>
      <c r="E9" s="3"/>
      <c r="F9" s="6">
        <f t="shared" si="0"/>
        <v>400000</v>
      </c>
    </row>
    <row r="10" spans="1:28">
      <c r="A10" s="1" t="s">
        <v>16</v>
      </c>
      <c r="B10" s="4">
        <v>300000</v>
      </c>
      <c r="C10" s="5">
        <v>1</v>
      </c>
      <c r="D10" s="1">
        <v>1</v>
      </c>
      <c r="E10" s="3"/>
      <c r="F10" s="6">
        <f t="shared" si="0"/>
        <v>300000</v>
      </c>
    </row>
    <row r="11" spans="1:28">
      <c r="A11" s="1"/>
      <c r="B11" s="3"/>
      <c r="C11" s="3"/>
      <c r="D11" s="3"/>
      <c r="E11" s="3"/>
      <c r="F11" s="3">
        <f t="shared" si="0"/>
        <v>0</v>
      </c>
    </row>
    <row r="12" spans="1:28">
      <c r="A12" s="1" t="s">
        <v>17</v>
      </c>
      <c r="B12" s="4">
        <v>125000</v>
      </c>
      <c r="C12" s="5">
        <v>1.3</v>
      </c>
      <c r="D12" s="1">
        <v>5</v>
      </c>
      <c r="E12" s="3"/>
      <c r="F12" s="6">
        <f t="shared" si="0"/>
        <v>812500</v>
      </c>
    </row>
    <row r="13" spans="1:28">
      <c r="A13" s="1" t="s">
        <v>18</v>
      </c>
      <c r="B13" s="4">
        <v>100000</v>
      </c>
      <c r="C13" s="7">
        <v>1</v>
      </c>
      <c r="D13" s="1">
        <v>1</v>
      </c>
      <c r="E13" s="3"/>
      <c r="F13" s="6">
        <f t="shared" si="0"/>
        <v>100000</v>
      </c>
    </row>
    <row r="14" spans="1:28">
      <c r="A14" s="8" t="s">
        <v>19</v>
      </c>
      <c r="B14" s="9"/>
      <c r="C14" s="9"/>
      <c r="D14" s="9"/>
      <c r="E14" s="9"/>
      <c r="F14" s="9"/>
      <c r="G14" s="10">
        <f>SUM(F4:F13)</f>
        <v>2808500</v>
      </c>
      <c r="H14" s="10">
        <f t="shared" ref="H14:L14" ca="1" si="1">G14 + H29*$C$55</f>
        <v>3321564.5161290322</v>
      </c>
      <c r="I14" s="10">
        <f t="shared" ca="1" si="1"/>
        <v>4019753.0120481928</v>
      </c>
      <c r="J14" s="10">
        <f t="shared" ca="1" si="1"/>
        <v>5004865.7534246575</v>
      </c>
      <c r="K14" s="10">
        <f t="shared" ca="1" si="1"/>
        <v>6584642.7798771849</v>
      </c>
      <c r="L14" s="10">
        <f t="shared" ca="1" si="1"/>
        <v>9152387.7548515983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>
      <c r="A15" s="1" t="s">
        <v>20</v>
      </c>
      <c r="B15" s="4">
        <v>150000</v>
      </c>
      <c r="C15" s="5">
        <v>1.3</v>
      </c>
      <c r="D15" s="1">
        <v>2</v>
      </c>
      <c r="E15" s="3"/>
      <c r="F15" s="6">
        <f t="shared" ref="F15:F16" si="2">B15*C15*D15</f>
        <v>390000</v>
      </c>
    </row>
    <row r="16" spans="1:28">
      <c r="A16" s="1" t="s">
        <v>21</v>
      </c>
      <c r="B16" s="4">
        <v>100000</v>
      </c>
      <c r="C16" s="5">
        <v>1</v>
      </c>
      <c r="D16" s="1">
        <v>1</v>
      </c>
      <c r="E16" s="3"/>
      <c r="F16" s="6">
        <f t="shared" si="2"/>
        <v>100000</v>
      </c>
    </row>
    <row r="17" spans="1:28">
      <c r="A17" s="3"/>
      <c r="B17" s="3"/>
      <c r="C17" s="3"/>
      <c r="D17" s="3"/>
      <c r="E17" s="3"/>
      <c r="F17" s="3"/>
    </row>
    <row r="18" spans="1:28">
      <c r="A18" s="1" t="s">
        <v>22</v>
      </c>
      <c r="B18" s="4">
        <v>125000</v>
      </c>
      <c r="C18" s="5">
        <v>1.3</v>
      </c>
      <c r="D18" s="1">
        <v>2</v>
      </c>
      <c r="E18" s="3"/>
      <c r="F18" s="6">
        <f t="shared" ref="F18:F20" si="3">B18*C18*D18</f>
        <v>325000</v>
      </c>
    </row>
    <row r="19" spans="1:28">
      <c r="A19" s="1" t="s">
        <v>23</v>
      </c>
      <c r="B19" s="4">
        <v>300000</v>
      </c>
      <c r="C19" s="5">
        <v>1</v>
      </c>
      <c r="D19" s="1">
        <v>1</v>
      </c>
      <c r="E19" s="3"/>
      <c r="F19" s="6">
        <f t="shared" si="3"/>
        <v>300000</v>
      </c>
    </row>
    <row r="20" spans="1:28">
      <c r="A20" s="1" t="s">
        <v>24</v>
      </c>
      <c r="B20" s="4">
        <v>100000</v>
      </c>
      <c r="C20" s="5">
        <v>1</v>
      </c>
      <c r="D20" s="1">
        <v>1</v>
      </c>
      <c r="E20" s="3"/>
      <c r="F20" s="6">
        <f t="shared" si="3"/>
        <v>100000</v>
      </c>
    </row>
    <row r="21" spans="1:28">
      <c r="A21" s="12" t="s">
        <v>25</v>
      </c>
      <c r="B21" s="13"/>
      <c r="C21" s="13"/>
      <c r="D21" s="13"/>
      <c r="E21" s="13"/>
      <c r="F21" s="13"/>
      <c r="G21" s="14">
        <f>SUM(F15:F20)</f>
        <v>1215000</v>
      </c>
      <c r="H21" s="15">
        <f t="shared" ref="H21:L21" ca="1" si="4">$G$21 + H29*($C$57)*(1+H50)</f>
        <v>1830677.4193548388</v>
      </c>
      <c r="I21" s="15">
        <f t="shared" ca="1" si="4"/>
        <v>2052826.1951029925</v>
      </c>
      <c r="J21" s="15">
        <f t="shared" ca="1" si="4"/>
        <v>2397135.289651758</v>
      </c>
      <c r="K21" s="15">
        <f t="shared" ca="1" si="4"/>
        <v>3110732.4317430323</v>
      </c>
      <c r="L21" s="15">
        <f t="shared" ca="1" si="4"/>
        <v>4296293.9699692968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>
      <c r="A22" s="1" t="s">
        <v>26</v>
      </c>
      <c r="B22" s="4">
        <v>500000</v>
      </c>
      <c r="C22" s="5">
        <v>1</v>
      </c>
      <c r="D22" s="1">
        <v>1</v>
      </c>
      <c r="E22" s="3"/>
      <c r="F22" s="6">
        <f t="shared" ref="F22:F23" si="5">B22*C22*D22</f>
        <v>500000</v>
      </c>
    </row>
    <row r="23" spans="1:28">
      <c r="A23" s="1" t="s">
        <v>27</v>
      </c>
      <c r="B23" s="4">
        <v>80000</v>
      </c>
      <c r="C23" s="5">
        <v>1.3</v>
      </c>
      <c r="D23" s="1">
        <v>2</v>
      </c>
      <c r="E23" s="3"/>
      <c r="F23" s="6">
        <f t="shared" si="5"/>
        <v>208000</v>
      </c>
    </row>
    <row r="24" spans="1:28">
      <c r="A24" s="8" t="s">
        <v>28</v>
      </c>
      <c r="B24" s="9"/>
      <c r="C24" s="9"/>
      <c r="D24" s="9"/>
      <c r="E24" s="9"/>
      <c r="F24" s="9"/>
      <c r="G24" s="15">
        <f>SUM(F22:F23)</f>
        <v>708000</v>
      </c>
      <c r="H24" s="15">
        <f t="shared" ref="H24:L24" si="6">H36*H33*(1 - $C51)</f>
        <v>747999.99999999988</v>
      </c>
      <c r="I24" s="15">
        <f t="shared" ca="1" si="6"/>
        <v>1258400</v>
      </c>
      <c r="J24" s="15">
        <f t="shared" ca="1" si="6"/>
        <v>1956570</v>
      </c>
      <c r="K24" s="15">
        <f t="shared" ca="1" si="6"/>
        <v>2942841.0000000005</v>
      </c>
      <c r="L24" s="15">
        <f t="shared" ca="1" si="6"/>
        <v>4525533.1000000015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6" spans="1:28">
      <c r="A26" s="18" t="s">
        <v>29</v>
      </c>
      <c r="B26" s="19"/>
      <c r="C26" s="19"/>
      <c r="D26" s="19"/>
      <c r="E26" s="19"/>
      <c r="F26" s="19"/>
      <c r="G26" s="20">
        <f t="shared" ref="G26:L26" si="7">SUM(G14:G24)</f>
        <v>4731500</v>
      </c>
      <c r="H26" s="20">
        <f t="shared" ca="1" si="7"/>
        <v>5900241.935483871</v>
      </c>
      <c r="I26" s="20">
        <f t="shared" ca="1" si="7"/>
        <v>7330979.2071511857</v>
      </c>
      <c r="J26" s="20">
        <f t="shared" ca="1" si="7"/>
        <v>9358571.0430764146</v>
      </c>
      <c r="K26" s="20">
        <f t="shared" ca="1" si="7"/>
        <v>12638216.211620217</v>
      </c>
      <c r="L26" s="20">
        <f t="shared" ca="1" si="7"/>
        <v>17974214.824820898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8" spans="1:28">
      <c r="A28" s="21" t="s">
        <v>30</v>
      </c>
      <c r="B28" s="22"/>
      <c r="C28" s="22"/>
      <c r="D28" s="22"/>
      <c r="E28" s="22"/>
      <c r="F28" s="21">
        <v>0</v>
      </c>
      <c r="G28" s="23">
        <f>F28+G29</f>
        <v>1892600</v>
      </c>
      <c r="H28" s="24">
        <f t="shared" ref="H28:L28" si="8">G28 + G29</f>
        <v>3785200</v>
      </c>
      <c r="I28" s="24">
        <f t="shared" ca="1" si="8"/>
        <v>6350522.5806451617</v>
      </c>
      <c r="J28" s="24">
        <f t="shared" ca="1" si="8"/>
        <v>9841465.0602409653</v>
      </c>
      <c r="K28" s="24">
        <f t="shared" ca="1" si="8"/>
        <v>14767028.767123289</v>
      </c>
      <c r="L28" s="24">
        <f t="shared" ca="1" si="8"/>
        <v>22665913.899385925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>
      <c r="A29" s="25" t="s">
        <v>31</v>
      </c>
      <c r="B29" s="26"/>
      <c r="C29" s="26"/>
      <c r="D29" s="26"/>
      <c r="E29" s="26"/>
      <c r="F29" s="26"/>
      <c r="G29" s="27">
        <f t="shared" ref="G29:L29" si="9">G26/G49</f>
        <v>1892600</v>
      </c>
      <c r="H29" s="27">
        <f t="shared" ca="1" si="9"/>
        <v>2565322.5806451617</v>
      </c>
      <c r="I29" s="27">
        <f t="shared" ca="1" si="9"/>
        <v>3490942.4795958027</v>
      </c>
      <c r="J29" s="27">
        <f t="shared" ca="1" si="9"/>
        <v>4925563.7068823241</v>
      </c>
      <c r="K29" s="27">
        <f t="shared" ca="1" si="9"/>
        <v>7898885.132262635</v>
      </c>
      <c r="L29" s="27">
        <f t="shared" ca="1" si="9"/>
        <v>12838724.874872072</v>
      </c>
    </row>
    <row r="30" spans="1:28">
      <c r="A30" s="2" t="s">
        <v>32</v>
      </c>
      <c r="G30" s="28">
        <f t="shared" ref="G30:L30" si="10">G26/G29</f>
        <v>2.5</v>
      </c>
      <c r="H30" s="28">
        <f t="shared" ca="1" si="10"/>
        <v>2.2999999999999998</v>
      </c>
      <c r="I30" s="28">
        <f t="shared" ca="1" si="10"/>
        <v>2.1</v>
      </c>
      <c r="J30" s="28">
        <f t="shared" ca="1" si="10"/>
        <v>1.8999999999999997</v>
      </c>
      <c r="K30" s="28">
        <f t="shared" ca="1" si="10"/>
        <v>1.6</v>
      </c>
      <c r="L30" s="28">
        <f t="shared" ca="1" si="10"/>
        <v>1.4</v>
      </c>
    </row>
    <row r="32" spans="1:28">
      <c r="A32" s="2"/>
    </row>
    <row r="33" spans="1:28">
      <c r="A33" s="2" t="s">
        <v>33</v>
      </c>
      <c r="G33" s="4">
        <v>50000</v>
      </c>
      <c r="H33" s="29">
        <f t="shared" ref="H33:L33" si="11">G33*(1+$C$53)</f>
        <v>55000.000000000007</v>
      </c>
      <c r="I33" s="29">
        <f t="shared" si="11"/>
        <v>60500.000000000015</v>
      </c>
      <c r="J33" s="29">
        <f t="shared" si="11"/>
        <v>66550.000000000015</v>
      </c>
      <c r="K33" s="29">
        <f t="shared" si="11"/>
        <v>73205.000000000029</v>
      </c>
      <c r="L33" s="29">
        <f t="shared" si="11"/>
        <v>80525.500000000044</v>
      </c>
    </row>
    <row r="34" spans="1:28">
      <c r="B34" s="17"/>
      <c r="C34" s="11"/>
      <c r="D34" s="11"/>
      <c r="E34" s="11"/>
      <c r="F34" s="11"/>
      <c r="G34" s="11"/>
      <c r="H34" s="10"/>
      <c r="I34" s="10"/>
      <c r="J34" s="10"/>
      <c r="K34" s="10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6" spans="1:28">
      <c r="A36" s="30" t="s">
        <v>34</v>
      </c>
      <c r="B36" s="30"/>
      <c r="C36" s="30"/>
      <c r="D36" s="31"/>
      <c r="E36" s="30"/>
      <c r="F36" s="30"/>
      <c r="G36" s="32">
        <f t="shared" ref="G36:L36" si="12">INT(G28/G33)</f>
        <v>37</v>
      </c>
      <c r="H36" s="32">
        <f t="shared" si="12"/>
        <v>68</v>
      </c>
      <c r="I36" s="32">
        <f t="shared" ca="1" si="12"/>
        <v>104</v>
      </c>
      <c r="J36" s="32">
        <f t="shared" ca="1" si="12"/>
        <v>147</v>
      </c>
      <c r="K36" s="32">
        <f t="shared" ca="1" si="12"/>
        <v>201</v>
      </c>
      <c r="L36" s="32">
        <f t="shared" ca="1" si="12"/>
        <v>281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8">
      <c r="A37" s="2" t="s">
        <v>35</v>
      </c>
      <c r="B37" s="2"/>
      <c r="G37" s="28">
        <f>INT(G28/G33*(1+G50))</f>
        <v>45</v>
      </c>
      <c r="H37" s="28">
        <f t="shared" ref="H37:L37" ca="1" si="13">INT(((H29/H33)) * (1+H50))</f>
        <v>55</v>
      </c>
      <c r="I37" s="28">
        <f t="shared" ca="1" si="13"/>
        <v>69</v>
      </c>
      <c r="J37" s="28">
        <f t="shared" ca="1" si="13"/>
        <v>88</v>
      </c>
      <c r="K37" s="28">
        <f t="shared" ca="1" si="13"/>
        <v>129</v>
      </c>
      <c r="L37" s="28">
        <f t="shared" ca="1" si="13"/>
        <v>191</v>
      </c>
      <c r="M37" s="29"/>
    </row>
    <row r="38" spans="1:28">
      <c r="C38" s="33"/>
    </row>
    <row r="39" spans="1:28">
      <c r="A39" s="2" t="s">
        <v>36</v>
      </c>
      <c r="G39" s="29">
        <f t="shared" ref="G39:L39" si="14">G33*$C$57</f>
        <v>10000</v>
      </c>
      <c r="H39" s="29">
        <f t="shared" si="14"/>
        <v>11000.000000000002</v>
      </c>
      <c r="I39" s="29">
        <f t="shared" si="14"/>
        <v>12100.000000000004</v>
      </c>
      <c r="J39" s="29">
        <f t="shared" si="14"/>
        <v>13310.000000000004</v>
      </c>
      <c r="K39" s="29">
        <f t="shared" si="14"/>
        <v>14641.000000000007</v>
      </c>
      <c r="L39" s="29">
        <f t="shared" si="14"/>
        <v>16105.100000000009</v>
      </c>
    </row>
    <row r="40" spans="1:28">
      <c r="A40" s="2" t="s">
        <v>37</v>
      </c>
      <c r="G40" s="34">
        <f t="shared" ref="G40:L40" si="15">G21/G37</f>
        <v>27000</v>
      </c>
      <c r="H40" s="29">
        <f t="shared" ca="1" si="15"/>
        <v>33285.043988269797</v>
      </c>
      <c r="I40" s="29">
        <f t="shared" ca="1" si="15"/>
        <v>29751.104276854963</v>
      </c>
      <c r="J40" s="29">
        <f t="shared" ca="1" si="15"/>
        <v>27240.173746042707</v>
      </c>
      <c r="K40" s="29">
        <f t="shared" ca="1" si="15"/>
        <v>24114.204897232808</v>
      </c>
      <c r="L40" s="29">
        <f t="shared" ca="1" si="15"/>
        <v>22493.685706645534</v>
      </c>
    </row>
    <row r="41" spans="1:28">
      <c r="A41" s="2" t="s">
        <v>39</v>
      </c>
      <c r="G41" s="35">
        <f t="shared" ref="G41:L41" si="16">G21/G28</f>
        <v>0.64197400401563987</v>
      </c>
      <c r="H41" s="35">
        <f t="shared" ca="1" si="16"/>
        <v>0.48364086953261093</v>
      </c>
      <c r="I41" s="35">
        <f t="shared" ca="1" si="16"/>
        <v>0.3232531132728359</v>
      </c>
      <c r="J41" s="35">
        <f t="shared" ca="1" si="16"/>
        <v>0.24357504446528663</v>
      </c>
      <c r="K41" s="35">
        <f t="shared" ca="1" si="16"/>
        <v>0.21065391561155755</v>
      </c>
      <c r="L41" s="35">
        <f t="shared" ca="1" si="16"/>
        <v>0.18954867600047196</v>
      </c>
    </row>
    <row r="43" spans="1:28">
      <c r="A43" s="2" t="s">
        <v>40</v>
      </c>
      <c r="G43" s="36">
        <f t="shared" ref="G43:L43" si="17">(G14/G28)</f>
        <v>1.4839374405579626</v>
      </c>
      <c r="H43" s="36">
        <f t="shared" ca="1" si="17"/>
        <v>0.87751360988297378</v>
      </c>
      <c r="I43" s="36">
        <f t="shared" ca="1" si="17"/>
        <v>0.63297987858501847</v>
      </c>
      <c r="J43" s="36">
        <f t="shared" ca="1" si="17"/>
        <v>0.50854885149611195</v>
      </c>
      <c r="K43" s="36">
        <f t="shared" ca="1" si="17"/>
        <v>0.44590166943650605</v>
      </c>
      <c r="L43" s="36">
        <f t="shared" ca="1" si="17"/>
        <v>0.40379522288309577</v>
      </c>
    </row>
    <row r="45" spans="1:28">
      <c r="A45" s="2" t="s">
        <v>41</v>
      </c>
      <c r="G45" s="35">
        <f t="shared" ref="G45:L45" si="18">(G28-G24)/G28</f>
        <v>0.62591144457360248</v>
      </c>
      <c r="H45" s="35">
        <f t="shared" si="18"/>
        <v>0.80238824896967131</v>
      </c>
      <c r="I45" s="35">
        <f t="shared" ca="1" si="18"/>
        <v>0.80184307920811193</v>
      </c>
      <c r="J45" s="35">
        <f t="shared" ca="1" si="18"/>
        <v>0.80119118565949632</v>
      </c>
      <c r="K45" s="35">
        <f t="shared" ca="1" si="18"/>
        <v>0.80071542851248312</v>
      </c>
      <c r="L45" s="35">
        <f t="shared" ca="1" si="18"/>
        <v>0.8003374970853212</v>
      </c>
    </row>
    <row r="47" spans="1:28">
      <c r="A47" s="2" t="s">
        <v>42</v>
      </c>
      <c r="G47" s="35">
        <f t="shared" ref="G47:L47" si="19">(G28-G26) /G28</f>
        <v>-1.5</v>
      </c>
      <c r="H47" s="35">
        <f t="shared" ca="1" si="19"/>
        <v>-0.55876623044591334</v>
      </c>
      <c r="I47" s="35">
        <f t="shared" ca="1" si="19"/>
        <v>-0.15438991264974253</v>
      </c>
      <c r="J47" s="35">
        <f t="shared" ca="1" si="19"/>
        <v>4.9067289698097774E-2</v>
      </c>
      <c r="K47" s="35">
        <f t="shared" ca="1" si="19"/>
        <v>0.14415984346441943</v>
      </c>
      <c r="L47" s="35">
        <f t="shared" ca="1" si="19"/>
        <v>0.20699359820175336</v>
      </c>
    </row>
    <row r="48" spans="1:28">
      <c r="A48" s="2"/>
      <c r="G48" s="35"/>
      <c r="H48" s="35"/>
      <c r="I48" s="35"/>
      <c r="J48" s="35"/>
      <c r="K48" s="35"/>
      <c r="L48" s="35"/>
    </row>
    <row r="49" spans="1:13">
      <c r="A49" s="1" t="s">
        <v>44</v>
      </c>
      <c r="B49" s="39"/>
      <c r="C49" s="39"/>
      <c r="D49" s="39"/>
      <c r="E49" s="39"/>
      <c r="F49" s="39"/>
      <c r="G49" s="1">
        <v>2.5</v>
      </c>
      <c r="H49" s="1">
        <v>2.2999999999999998</v>
      </c>
      <c r="I49" s="1">
        <v>2.1</v>
      </c>
      <c r="J49" s="1">
        <v>1.9</v>
      </c>
      <c r="K49" s="1">
        <v>1.6</v>
      </c>
      <c r="L49" s="1">
        <v>1.4</v>
      </c>
    </row>
    <row r="50" spans="1:13">
      <c r="A50" s="1" t="s">
        <v>45</v>
      </c>
      <c r="B50" s="2"/>
      <c r="G50" s="7">
        <v>0.2</v>
      </c>
      <c r="H50" s="7">
        <v>0.2</v>
      </c>
      <c r="I50" s="7">
        <v>0.2</v>
      </c>
      <c r="J50" s="7">
        <v>0.2</v>
      </c>
      <c r="K50" s="7">
        <v>0.2</v>
      </c>
      <c r="L50" s="7">
        <v>0.2</v>
      </c>
      <c r="M50" s="2"/>
    </row>
    <row r="51" spans="1:13">
      <c r="A51" s="1" t="s">
        <v>46</v>
      </c>
      <c r="B51" s="3"/>
      <c r="C51" s="5">
        <v>0.8</v>
      </c>
    </row>
    <row r="52" spans="1:13">
      <c r="A52" s="3"/>
      <c r="B52" s="3"/>
      <c r="C52" s="3"/>
    </row>
    <row r="53" spans="1:13">
      <c r="A53" s="1" t="s">
        <v>47</v>
      </c>
      <c r="B53" s="3"/>
      <c r="C53" s="5">
        <v>0.1</v>
      </c>
    </row>
    <row r="54" spans="1:13">
      <c r="A54" s="3"/>
      <c r="B54" s="3"/>
      <c r="C54" s="3"/>
    </row>
    <row r="55" spans="1:13">
      <c r="A55" s="1" t="s">
        <v>48</v>
      </c>
      <c r="B55" s="3"/>
      <c r="C55" s="5">
        <v>0.2</v>
      </c>
    </row>
    <row r="56" spans="1:13">
      <c r="A56" s="3"/>
      <c r="B56" s="3"/>
      <c r="C56" s="1"/>
    </row>
    <row r="57" spans="1:13">
      <c r="A57" s="1" t="s">
        <v>53</v>
      </c>
      <c r="B57" s="3"/>
      <c r="C57" s="5">
        <v>0.2</v>
      </c>
    </row>
    <row r="70" spans="1:28">
      <c r="B70" s="40" t="s">
        <v>0</v>
      </c>
      <c r="C70" s="40" t="s">
        <v>1</v>
      </c>
      <c r="D70" s="40" t="s">
        <v>2</v>
      </c>
      <c r="E70" s="40" t="s">
        <v>3</v>
      </c>
      <c r="F70" s="40" t="s">
        <v>4</v>
      </c>
      <c r="G70" s="40" t="s">
        <v>5</v>
      </c>
    </row>
    <row r="71" spans="1:28">
      <c r="A71" s="41" t="s">
        <v>50</v>
      </c>
      <c r="B71" s="42">
        <f t="shared" ref="B71:G71" si="20">G14</f>
        <v>2808500</v>
      </c>
      <c r="C71" s="42">
        <f t="shared" ca="1" si="20"/>
        <v>3321564.5161290322</v>
      </c>
      <c r="D71" s="42">
        <f t="shared" ca="1" si="20"/>
        <v>4019753.0120481928</v>
      </c>
      <c r="E71" s="42">
        <f t="shared" ca="1" si="20"/>
        <v>5004865.7534246575</v>
      </c>
      <c r="F71" s="42">
        <f t="shared" ca="1" si="20"/>
        <v>6584642.7798771849</v>
      </c>
      <c r="G71" s="42">
        <f t="shared" ca="1" si="20"/>
        <v>9152387.7548515983</v>
      </c>
    </row>
    <row r="72" spans="1:28">
      <c r="A72" s="41" t="s">
        <v>51</v>
      </c>
      <c r="B72" s="43">
        <f t="shared" ref="B72:G72" si="21">G21</f>
        <v>1215000</v>
      </c>
      <c r="C72" s="43">
        <f t="shared" ca="1" si="21"/>
        <v>1830677.4193548388</v>
      </c>
      <c r="D72" s="43">
        <f t="shared" ca="1" si="21"/>
        <v>2052826.1951029925</v>
      </c>
      <c r="E72" s="43">
        <f t="shared" ca="1" si="21"/>
        <v>2397135.289651758</v>
      </c>
      <c r="F72" s="43">
        <f t="shared" ca="1" si="21"/>
        <v>3110732.4317430323</v>
      </c>
      <c r="G72" s="43">
        <f t="shared" ca="1" si="21"/>
        <v>4296293.9699692968</v>
      </c>
    </row>
    <row r="73" spans="1:28">
      <c r="A73" s="17" t="s">
        <v>28</v>
      </c>
      <c r="B73" s="43">
        <f t="shared" ref="B73:G73" si="22">G24</f>
        <v>708000</v>
      </c>
      <c r="C73" s="43">
        <f t="shared" si="22"/>
        <v>747999.99999999988</v>
      </c>
      <c r="D73" s="43">
        <f t="shared" ca="1" si="22"/>
        <v>1258400</v>
      </c>
      <c r="E73" s="43">
        <f t="shared" ca="1" si="22"/>
        <v>1956570</v>
      </c>
      <c r="F73" s="43">
        <f t="shared" ca="1" si="22"/>
        <v>2942841.0000000005</v>
      </c>
      <c r="G73" s="43">
        <f t="shared" ca="1" si="22"/>
        <v>4525533.1000000015</v>
      </c>
    </row>
    <row r="74" spans="1:28">
      <c r="A74" s="44" t="s">
        <v>52</v>
      </c>
      <c r="B74" s="46">
        <f t="shared" ref="B74:G74" si="23">G28 - G26</f>
        <v>-2838900</v>
      </c>
      <c r="C74" s="46">
        <f t="shared" ca="1" si="23"/>
        <v>-2115041.935483871</v>
      </c>
      <c r="D74" s="46">
        <f t="shared" ca="1" si="23"/>
        <v>-980456.62650602404</v>
      </c>
      <c r="E74" s="46">
        <f t="shared" ca="1" si="23"/>
        <v>482894.01716455072</v>
      </c>
      <c r="F74" s="46">
        <f t="shared" ca="1" si="23"/>
        <v>2128812.5555030722</v>
      </c>
      <c r="G74" s="46">
        <f t="shared" ca="1" si="23"/>
        <v>4691699.0745650269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</row>
    <row r="76" spans="1:28">
      <c r="A76" s="52" t="s">
        <v>54</v>
      </c>
      <c r="B76" s="54">
        <f t="shared" ref="B76:G76" si="24">MAX(0,(B74*20))</f>
        <v>0</v>
      </c>
      <c r="C76" s="54">
        <f t="shared" ca="1" si="24"/>
        <v>0</v>
      </c>
      <c r="D76" s="54">
        <f t="shared" ca="1" si="24"/>
        <v>0</v>
      </c>
      <c r="E76" s="54">
        <f t="shared" ca="1" si="24"/>
        <v>9657880.3432910144</v>
      </c>
      <c r="F76" s="54">
        <f t="shared" ca="1" si="24"/>
        <v>42576251.110061444</v>
      </c>
      <c r="G76" s="54">
        <f t="shared" ca="1" si="24"/>
        <v>93833981.491300538</v>
      </c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</row>
    <row r="81" spans="1:1">
      <c r="A81" s="18"/>
    </row>
    <row r="83" spans="1:1">
      <c r="A83" s="18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AB83"/>
  <sheetViews>
    <sheetView topLeftCell="A41" workbookViewId="0">
      <selection activeCell="J71" sqref="J71"/>
    </sheetView>
  </sheetViews>
  <sheetFormatPr defaultColWidth="14.42578125" defaultRowHeight="15.75" customHeight="1"/>
  <cols>
    <col min="1" max="1" width="28.140625" customWidth="1"/>
  </cols>
  <sheetData>
    <row r="1" spans="1:28">
      <c r="A1" s="2"/>
      <c r="C1" s="2"/>
      <c r="D1" s="2"/>
      <c r="F1" s="2" t="s">
        <v>55</v>
      </c>
      <c r="G1" s="2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</row>
    <row r="2" spans="1:28">
      <c r="A2" s="1" t="s">
        <v>6</v>
      </c>
      <c r="B2" s="3"/>
      <c r="C2" s="1" t="s">
        <v>7</v>
      </c>
      <c r="D2" s="1" t="s">
        <v>8</v>
      </c>
      <c r="E2" s="3"/>
      <c r="F2" s="1" t="s">
        <v>9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</row>
    <row r="3" spans="1:28">
      <c r="A3" s="3"/>
      <c r="B3" s="3"/>
      <c r="C3" s="3"/>
      <c r="D3" s="3"/>
      <c r="E3" s="3"/>
      <c r="F3" s="3"/>
    </row>
    <row r="4" spans="1:28">
      <c r="A4" s="1" t="s">
        <v>10</v>
      </c>
      <c r="B4" s="4">
        <v>250000</v>
      </c>
      <c r="C4" s="5">
        <v>1.3</v>
      </c>
      <c r="D4" s="1">
        <v>1</v>
      </c>
      <c r="E4" s="3"/>
      <c r="F4" s="6">
        <f t="shared" ref="F4:F13" si="0">B4*C4*D4</f>
        <v>325000</v>
      </c>
    </row>
    <row r="5" spans="1:28">
      <c r="A5" s="1" t="s">
        <v>11</v>
      </c>
      <c r="B5" s="4">
        <v>250000</v>
      </c>
      <c r="C5" s="5">
        <v>1.3</v>
      </c>
      <c r="D5" s="1">
        <v>1</v>
      </c>
      <c r="E5" s="3"/>
      <c r="F5" s="6">
        <f t="shared" si="0"/>
        <v>325000</v>
      </c>
    </row>
    <row r="6" spans="1:28">
      <c r="A6" s="1" t="s">
        <v>12</v>
      </c>
      <c r="B6" s="4">
        <v>250000</v>
      </c>
      <c r="C6" s="5">
        <v>1.3</v>
      </c>
      <c r="D6" s="1">
        <v>1</v>
      </c>
      <c r="E6" s="3"/>
      <c r="F6" s="6">
        <f t="shared" si="0"/>
        <v>325000</v>
      </c>
    </row>
    <row r="7" spans="1:28">
      <c r="A7" s="1" t="s">
        <v>13</v>
      </c>
      <c r="B7" s="4">
        <v>70000</v>
      </c>
      <c r="C7" s="5">
        <v>1.3</v>
      </c>
      <c r="D7" s="1">
        <v>1</v>
      </c>
      <c r="E7" s="3"/>
      <c r="F7" s="6">
        <f t="shared" si="0"/>
        <v>91000</v>
      </c>
    </row>
    <row r="8" spans="1:28">
      <c r="A8" s="1" t="s">
        <v>14</v>
      </c>
      <c r="B8" s="4">
        <v>100000</v>
      </c>
      <c r="C8" s="5">
        <v>1.3</v>
      </c>
      <c r="D8" s="1">
        <v>1</v>
      </c>
      <c r="E8" s="3"/>
      <c r="F8" s="6">
        <f t="shared" si="0"/>
        <v>130000</v>
      </c>
    </row>
    <row r="9" spans="1:28">
      <c r="A9" s="1" t="s">
        <v>15</v>
      </c>
      <c r="B9" s="4">
        <v>400000</v>
      </c>
      <c r="C9" s="5">
        <v>1</v>
      </c>
      <c r="D9" s="1">
        <v>1</v>
      </c>
      <c r="E9" s="3"/>
      <c r="F9" s="6">
        <f t="shared" si="0"/>
        <v>400000</v>
      </c>
    </row>
    <row r="10" spans="1:28">
      <c r="A10" s="1" t="s">
        <v>16</v>
      </c>
      <c r="B10" s="4">
        <v>300000</v>
      </c>
      <c r="C10" s="5">
        <v>1</v>
      </c>
      <c r="D10" s="1">
        <v>1</v>
      </c>
      <c r="E10" s="3"/>
      <c r="F10" s="6">
        <f t="shared" si="0"/>
        <v>300000</v>
      </c>
    </row>
    <row r="11" spans="1:28">
      <c r="A11" s="1"/>
      <c r="B11" s="3"/>
      <c r="C11" s="3"/>
      <c r="D11" s="3"/>
      <c r="E11" s="3"/>
      <c r="F11" s="3">
        <f t="shared" si="0"/>
        <v>0</v>
      </c>
    </row>
    <row r="12" spans="1:28">
      <c r="A12" s="1" t="s">
        <v>17</v>
      </c>
      <c r="B12" s="4">
        <v>125000</v>
      </c>
      <c r="C12" s="5">
        <v>1.3</v>
      </c>
      <c r="D12" s="1">
        <v>5</v>
      </c>
      <c r="E12" s="3"/>
      <c r="F12" s="6">
        <f t="shared" si="0"/>
        <v>812500</v>
      </c>
    </row>
    <row r="13" spans="1:28">
      <c r="A13" s="1" t="s">
        <v>18</v>
      </c>
      <c r="B13" s="4">
        <v>100000</v>
      </c>
      <c r="C13" s="7">
        <v>1</v>
      </c>
      <c r="D13" s="1">
        <v>1</v>
      </c>
      <c r="E13" s="3"/>
      <c r="F13" s="6">
        <f t="shared" si="0"/>
        <v>100000</v>
      </c>
    </row>
    <row r="14" spans="1:28">
      <c r="A14" s="8" t="s">
        <v>19</v>
      </c>
      <c r="B14" s="9"/>
      <c r="C14" s="9"/>
      <c r="D14" s="9"/>
      <c r="E14" s="9"/>
      <c r="F14" s="9"/>
      <c r="G14" s="10">
        <f>SUM(F4:F13)</f>
        <v>2808500</v>
      </c>
      <c r="H14" s="10">
        <f t="shared" ref="H14:L14" ca="1" si="1">G14 + H29*$C$55</f>
        <v>4281263.1578947362</v>
      </c>
      <c r="I14" s="10">
        <f t="shared" ca="1" si="1"/>
        <v>6530069.2520775618</v>
      </c>
      <c r="J14" s="10">
        <f t="shared" ca="1" si="1"/>
        <v>9962292.7394663952</v>
      </c>
      <c r="K14" s="10">
        <f t="shared" ca="1" si="1"/>
        <v>15200010.828799658</v>
      </c>
      <c r="L14" s="10">
        <f t="shared" ca="1" si="1"/>
        <v>23194256.23111536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>
      <c r="A15" s="1" t="s">
        <v>20</v>
      </c>
      <c r="B15" s="4">
        <v>150000</v>
      </c>
      <c r="C15" s="5">
        <v>1.3</v>
      </c>
      <c r="D15" s="1">
        <v>2</v>
      </c>
      <c r="E15" s="3"/>
      <c r="F15" s="6">
        <f t="shared" ref="F15:F16" si="2">B15*C15*D15</f>
        <v>390000</v>
      </c>
    </row>
    <row r="16" spans="1:28">
      <c r="A16" s="1" t="s">
        <v>21</v>
      </c>
      <c r="B16" s="4">
        <v>100000</v>
      </c>
      <c r="C16" s="5">
        <v>1</v>
      </c>
      <c r="D16" s="1">
        <v>1</v>
      </c>
      <c r="E16" s="3"/>
      <c r="F16" s="6">
        <f t="shared" si="2"/>
        <v>100000</v>
      </c>
    </row>
    <row r="17" spans="1:28">
      <c r="A17" s="3"/>
      <c r="B17" s="3"/>
      <c r="C17" s="3"/>
      <c r="D17" s="3"/>
      <c r="E17" s="3"/>
      <c r="F17" s="3"/>
    </row>
    <row r="18" spans="1:28">
      <c r="A18" s="1" t="s">
        <v>22</v>
      </c>
      <c r="B18" s="4">
        <v>125000</v>
      </c>
      <c r="C18" s="5">
        <v>1.3</v>
      </c>
      <c r="D18" s="1">
        <v>2</v>
      </c>
      <c r="E18" s="3"/>
      <c r="F18" s="6">
        <f t="shared" ref="F18:F20" si="3">B18*C18*D18</f>
        <v>325000</v>
      </c>
    </row>
    <row r="19" spans="1:28">
      <c r="A19" s="1" t="s">
        <v>23</v>
      </c>
      <c r="B19" s="4">
        <v>300000</v>
      </c>
      <c r="C19" s="5">
        <v>1</v>
      </c>
      <c r="D19" s="1">
        <v>1</v>
      </c>
      <c r="E19" s="3"/>
      <c r="F19" s="6">
        <f t="shared" si="3"/>
        <v>300000</v>
      </c>
    </row>
    <row r="20" spans="1:28">
      <c r="A20" s="1" t="s">
        <v>24</v>
      </c>
      <c r="B20" s="4">
        <v>100000</v>
      </c>
      <c r="C20" s="5">
        <v>1</v>
      </c>
      <c r="D20" s="1">
        <v>1</v>
      </c>
      <c r="E20" s="3"/>
      <c r="F20" s="6">
        <f t="shared" si="3"/>
        <v>100000</v>
      </c>
    </row>
    <row r="21" spans="1:28">
      <c r="A21" s="12" t="s">
        <v>25</v>
      </c>
      <c r="B21" s="13"/>
      <c r="C21" s="13"/>
      <c r="D21" s="13"/>
      <c r="E21" s="13"/>
      <c r="F21" s="13"/>
      <c r="G21" s="14">
        <f>SUM(F15:F20)</f>
        <v>1215000</v>
      </c>
      <c r="H21" s="15">
        <f t="shared" ref="H21:L21" ca="1" si="4">$G$21 + H29*($C$57)*(1+H50)</f>
        <v>2982315.7894736836</v>
      </c>
      <c r="I21" s="15">
        <f t="shared" ca="1" si="4"/>
        <v>3913567.3130193907</v>
      </c>
      <c r="J21" s="15">
        <f t="shared" ca="1" si="4"/>
        <v>5333668.1848665997</v>
      </c>
      <c r="K21" s="15">
        <f t="shared" ca="1" si="4"/>
        <v>7500261.7071999144</v>
      </c>
      <c r="L21" s="15">
        <f t="shared" ca="1" si="4"/>
        <v>10808094.482778842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>
      <c r="A22" s="1" t="s">
        <v>26</v>
      </c>
      <c r="B22" s="4">
        <v>500000</v>
      </c>
      <c r="C22" s="5">
        <v>1</v>
      </c>
      <c r="D22" s="1">
        <v>1</v>
      </c>
      <c r="E22" s="3"/>
      <c r="F22" s="6">
        <f t="shared" ref="F22:F23" si="5">B22*C22*D22</f>
        <v>500000</v>
      </c>
    </row>
    <row r="23" spans="1:28">
      <c r="A23" s="1" t="s">
        <v>27</v>
      </c>
      <c r="B23" s="4">
        <v>80000</v>
      </c>
      <c r="C23" s="5">
        <v>1.3</v>
      </c>
      <c r="D23" s="1">
        <v>2</v>
      </c>
      <c r="E23" s="3"/>
      <c r="F23" s="6">
        <f t="shared" si="5"/>
        <v>208000</v>
      </c>
    </row>
    <row r="24" spans="1:28">
      <c r="A24" s="8" t="s">
        <v>28</v>
      </c>
      <c r="B24" s="9"/>
      <c r="C24" s="9"/>
      <c r="D24" s="9"/>
      <c r="E24" s="9"/>
      <c r="F24" s="9"/>
      <c r="G24" s="15">
        <f>SUM(F22:F23)</f>
        <v>708000</v>
      </c>
      <c r="H24" s="15">
        <f t="shared" ref="H24:L24" si="6">H36*H33*(1 - $C51)</f>
        <v>1572999.9999999998</v>
      </c>
      <c r="I24" s="15">
        <f t="shared" ca="1" si="6"/>
        <v>3049200</v>
      </c>
      <c r="J24" s="15">
        <f t="shared" ca="1" si="6"/>
        <v>5297380</v>
      </c>
      <c r="K24" s="15">
        <f t="shared" ca="1" si="6"/>
        <v>8726036.0000000019</v>
      </c>
      <c r="L24" s="15">
        <f t="shared" ca="1" si="6"/>
        <v>13963121.700000007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6" spans="1:28">
      <c r="A26" s="18" t="s">
        <v>29</v>
      </c>
      <c r="B26" s="19"/>
      <c r="C26" s="19"/>
      <c r="D26" s="19"/>
      <c r="E26" s="19"/>
      <c r="F26" s="19"/>
      <c r="G26" s="20">
        <f t="shared" ref="G26:L26" si="7">SUM(G14:G24)</f>
        <v>4731500</v>
      </c>
      <c r="H26" s="20">
        <f t="shared" ca="1" si="7"/>
        <v>8836578.9473684188</v>
      </c>
      <c r="I26" s="20">
        <f t="shared" ca="1" si="7"/>
        <v>13492836.565096952</v>
      </c>
      <c r="J26" s="20">
        <f t="shared" ca="1" si="7"/>
        <v>20593340.924332995</v>
      </c>
      <c r="K26" s="20">
        <f t="shared" ca="1" si="7"/>
        <v>31426308.535999574</v>
      </c>
      <c r="L26" s="20">
        <f t="shared" ca="1" si="7"/>
        <v>47965472.413894206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8" spans="1:28">
      <c r="A28" s="21" t="s">
        <v>30</v>
      </c>
      <c r="B28" s="22"/>
      <c r="C28" s="22"/>
      <c r="D28" s="22"/>
      <c r="E28" s="22"/>
      <c r="F28" s="21">
        <v>0</v>
      </c>
      <c r="G28" s="23">
        <f>F28+G29</f>
        <v>3942916.666666667</v>
      </c>
      <c r="H28" s="24">
        <f t="shared" ref="H28:L28" si="8">G28 + G29</f>
        <v>7885833.333333334</v>
      </c>
      <c r="I28" s="24">
        <f t="shared" ca="1" si="8"/>
        <v>15249649.122807017</v>
      </c>
      <c r="J28" s="24">
        <f t="shared" ca="1" si="8"/>
        <v>26493679.593721144</v>
      </c>
      <c r="K28" s="24">
        <f t="shared" ca="1" si="8"/>
        <v>43654797.030665308</v>
      </c>
      <c r="L28" s="24">
        <f t="shared" ca="1" si="8"/>
        <v>69843387.477331623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>
      <c r="A29" s="25" t="s">
        <v>31</v>
      </c>
      <c r="B29" s="26"/>
      <c r="C29" s="26"/>
      <c r="D29" s="26"/>
      <c r="E29" s="26"/>
      <c r="F29" s="26"/>
      <c r="G29" s="27">
        <f t="shared" ref="G29:L29" si="9">G26/G49</f>
        <v>3942916.666666667</v>
      </c>
      <c r="H29" s="27">
        <f t="shared" ca="1" si="9"/>
        <v>7363815.7894736826</v>
      </c>
      <c r="I29" s="27">
        <f t="shared" ca="1" si="9"/>
        <v>11244030.470914127</v>
      </c>
      <c r="J29" s="27">
        <f t="shared" ca="1" si="9"/>
        <v>17161117.436944164</v>
      </c>
      <c r="K29" s="27">
        <f t="shared" ca="1" si="9"/>
        <v>26188590.446666311</v>
      </c>
      <c r="L29" s="27">
        <f t="shared" ca="1" si="9"/>
        <v>39971227.011578508</v>
      </c>
    </row>
    <row r="30" spans="1:28">
      <c r="A30" s="2" t="s">
        <v>32</v>
      </c>
      <c r="G30" s="28">
        <f t="shared" ref="G30:L30" si="10">G26/G29</f>
        <v>1.2</v>
      </c>
      <c r="H30" s="28">
        <f t="shared" ca="1" si="10"/>
        <v>1.2</v>
      </c>
      <c r="I30" s="28">
        <f t="shared" ca="1" si="10"/>
        <v>1.2</v>
      </c>
      <c r="J30" s="28">
        <f t="shared" ca="1" si="10"/>
        <v>1.2</v>
      </c>
      <c r="K30" s="28">
        <f t="shared" ca="1" si="10"/>
        <v>1.2</v>
      </c>
      <c r="L30" s="28">
        <f t="shared" ca="1" si="10"/>
        <v>1.2</v>
      </c>
    </row>
    <row r="32" spans="1:28">
      <c r="A32" s="2"/>
    </row>
    <row r="33" spans="1:28">
      <c r="A33" s="2" t="s">
        <v>33</v>
      </c>
      <c r="G33" s="56">
        <v>50000</v>
      </c>
      <c r="H33" s="29">
        <f t="shared" ref="H33:L33" si="11">G33*(1+$C$53)</f>
        <v>55000.000000000007</v>
      </c>
      <c r="I33" s="29">
        <f t="shared" si="11"/>
        <v>60500.000000000015</v>
      </c>
      <c r="J33" s="29">
        <f t="shared" si="11"/>
        <v>66550.000000000015</v>
      </c>
      <c r="K33" s="29">
        <f t="shared" si="11"/>
        <v>73205.000000000029</v>
      </c>
      <c r="L33" s="29">
        <f t="shared" si="11"/>
        <v>80525.500000000044</v>
      </c>
    </row>
    <row r="34" spans="1:28">
      <c r="B34" s="17"/>
      <c r="C34" s="11"/>
      <c r="D34" s="11"/>
      <c r="E34" s="11"/>
      <c r="F34" s="11"/>
      <c r="G34" s="11"/>
      <c r="H34" s="10"/>
      <c r="I34" s="10"/>
      <c r="J34" s="10"/>
      <c r="K34" s="10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6" spans="1:28">
      <c r="A36" s="57" t="s">
        <v>34</v>
      </c>
      <c r="B36" s="30"/>
      <c r="C36" s="30"/>
      <c r="D36" s="31"/>
      <c r="E36" s="30"/>
      <c r="F36" s="30"/>
      <c r="G36" s="32">
        <f t="shared" ref="G36:L36" si="12">INT(G28/G33)</f>
        <v>78</v>
      </c>
      <c r="H36" s="32">
        <f t="shared" si="12"/>
        <v>143</v>
      </c>
      <c r="I36" s="32">
        <f t="shared" ca="1" si="12"/>
        <v>252</v>
      </c>
      <c r="J36" s="32">
        <f t="shared" ca="1" si="12"/>
        <v>398</v>
      </c>
      <c r="K36" s="32">
        <f t="shared" ca="1" si="12"/>
        <v>596</v>
      </c>
      <c r="L36" s="32">
        <f t="shared" ca="1" si="12"/>
        <v>867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8">
      <c r="A37" s="2" t="s">
        <v>35</v>
      </c>
      <c r="B37" s="2"/>
      <c r="G37" s="28">
        <f>INT(G28/G33*(1+G50))</f>
        <v>94</v>
      </c>
      <c r="H37" s="28">
        <f t="shared" ref="H37:L37" ca="1" si="13">INT(((H29/H33)) * (1+H50))</f>
        <v>160</v>
      </c>
      <c r="I37" s="28">
        <f t="shared" ca="1" si="13"/>
        <v>223</v>
      </c>
      <c r="J37" s="28">
        <f t="shared" ca="1" si="13"/>
        <v>309</v>
      </c>
      <c r="K37" s="28">
        <f t="shared" ca="1" si="13"/>
        <v>429</v>
      </c>
      <c r="L37" s="28">
        <f t="shared" ca="1" si="13"/>
        <v>595</v>
      </c>
      <c r="M37" s="29"/>
    </row>
    <row r="38" spans="1:28">
      <c r="C38" s="33"/>
    </row>
    <row r="39" spans="1:28">
      <c r="A39" s="2" t="s">
        <v>36</v>
      </c>
      <c r="G39" s="29">
        <f t="shared" ref="G39:L39" si="14">G33*$C$57</f>
        <v>10000</v>
      </c>
      <c r="H39" s="29">
        <f t="shared" si="14"/>
        <v>11000.000000000002</v>
      </c>
      <c r="I39" s="29">
        <f t="shared" si="14"/>
        <v>12100.000000000004</v>
      </c>
      <c r="J39" s="29">
        <f t="shared" si="14"/>
        <v>13310.000000000004</v>
      </c>
      <c r="K39" s="29">
        <f t="shared" si="14"/>
        <v>14641.000000000007</v>
      </c>
      <c r="L39" s="29">
        <f t="shared" si="14"/>
        <v>16105.100000000009</v>
      </c>
    </row>
    <row r="40" spans="1:28">
      <c r="A40" s="2" t="s">
        <v>37</v>
      </c>
      <c r="G40" s="34">
        <f t="shared" ref="G40:L40" si="15">G21/G37</f>
        <v>12925.531914893618</v>
      </c>
      <c r="H40" s="29">
        <f t="shared" ca="1" si="15"/>
        <v>18639.473684210523</v>
      </c>
      <c r="I40" s="29">
        <f t="shared" ca="1" si="15"/>
        <v>17549.629206364982</v>
      </c>
      <c r="J40" s="29">
        <f t="shared" ca="1" si="15"/>
        <v>17261.062086946924</v>
      </c>
      <c r="K40" s="29">
        <f t="shared" ca="1" si="15"/>
        <v>17483.127522610524</v>
      </c>
      <c r="L40" s="29">
        <f t="shared" ca="1" si="15"/>
        <v>18164.864676939229</v>
      </c>
    </row>
    <row r="41" spans="1:28">
      <c r="A41" s="2" t="s">
        <v>39</v>
      </c>
      <c r="G41" s="35">
        <f t="shared" ref="G41:L41" si="16">G21/G28</f>
        <v>0.30814752192750711</v>
      </c>
      <c r="H41" s="35">
        <f t="shared" ca="1" si="16"/>
        <v>0.37818651034221917</v>
      </c>
      <c r="I41" s="35">
        <f t="shared" ca="1" si="16"/>
        <v>0.25663326949381093</v>
      </c>
      <c r="J41" s="35">
        <f t="shared" ca="1" si="16"/>
        <v>0.20131851319477154</v>
      </c>
      <c r="K41" s="35">
        <f t="shared" ca="1" si="16"/>
        <v>0.17180842009026764</v>
      </c>
      <c r="L41" s="35">
        <f t="shared" ca="1" si="16"/>
        <v>0.15474756985815899</v>
      </c>
    </row>
    <row r="43" spans="1:28">
      <c r="A43" s="2" t="s">
        <v>40</v>
      </c>
      <c r="G43" s="36">
        <f t="shared" ref="G43:L43" si="17">(G14/G28)</f>
        <v>0.71228997146782203</v>
      </c>
      <c r="H43" s="36">
        <f t="shared" ca="1" si="17"/>
        <v>0.54290561021596562</v>
      </c>
      <c r="I43" s="36">
        <f t="shared" ca="1" si="17"/>
        <v>0.42821111485846214</v>
      </c>
      <c r="J43" s="36">
        <f t="shared" ca="1" si="17"/>
        <v>0.37602525931608999</v>
      </c>
      <c r="K43" s="36">
        <f t="shared" ca="1" si="17"/>
        <v>0.34818649639173471</v>
      </c>
      <c r="L43" s="36">
        <f t="shared" ca="1" si="17"/>
        <v>0.33208950866885273</v>
      </c>
    </row>
    <row r="45" spans="1:28">
      <c r="A45" s="2" t="s">
        <v>41</v>
      </c>
      <c r="G45" s="35">
        <f t="shared" ref="G45:L45" si="18">(G28-G24)/G28</f>
        <v>0.82043749339532923</v>
      </c>
      <c r="H45" s="35">
        <f t="shared" si="18"/>
        <v>0.8005283736658565</v>
      </c>
      <c r="I45" s="35">
        <f t="shared" ca="1" si="18"/>
        <v>0.80004785844943227</v>
      </c>
      <c r="J45" s="35">
        <f t="shared" ca="1" si="18"/>
        <v>0.80005117895154698</v>
      </c>
      <c r="K45" s="35">
        <f t="shared" ca="1" si="18"/>
        <v>0.80011278041516498</v>
      </c>
      <c r="L45" s="35">
        <f t="shared" ca="1" si="18"/>
        <v>0.80007954647772672</v>
      </c>
    </row>
    <row r="47" spans="1:28">
      <c r="A47" s="2" t="s">
        <v>42</v>
      </c>
      <c r="G47" s="35">
        <f t="shared" ref="G47:L47" si="19">(G28-G26) /G28</f>
        <v>-0.1999999999999999</v>
      </c>
      <c r="H47" s="35">
        <f t="shared" ca="1" si="19"/>
        <v>-0.1205637468923282</v>
      </c>
      <c r="I47" s="35">
        <f t="shared" ca="1" si="19"/>
        <v>0.1152034740971592</v>
      </c>
      <c r="J47" s="35">
        <f t="shared" ca="1" si="19"/>
        <v>0.22270740644068546</v>
      </c>
      <c r="K47" s="35">
        <f t="shared" ca="1" si="19"/>
        <v>0.28011786393316257</v>
      </c>
      <c r="L47" s="35">
        <f t="shared" ca="1" si="19"/>
        <v>0.31324246795071498</v>
      </c>
    </row>
    <row r="48" spans="1:28">
      <c r="A48" s="2"/>
      <c r="G48" s="35"/>
      <c r="H48" s="35"/>
      <c r="I48" s="35"/>
      <c r="J48" s="35"/>
      <c r="K48" s="35"/>
      <c r="L48" s="35"/>
    </row>
    <row r="49" spans="1:13">
      <c r="A49" s="1" t="s">
        <v>44</v>
      </c>
      <c r="B49" s="39"/>
      <c r="C49" s="39"/>
      <c r="D49" s="39"/>
      <c r="E49" s="39"/>
      <c r="F49" s="39"/>
      <c r="G49" s="1">
        <v>1.2</v>
      </c>
      <c r="H49" s="1">
        <v>1.2</v>
      </c>
      <c r="I49" s="1">
        <v>1.2</v>
      </c>
      <c r="J49" s="1">
        <v>1.2</v>
      </c>
      <c r="K49" s="1">
        <v>1.2</v>
      </c>
      <c r="L49" s="1">
        <v>1.2</v>
      </c>
    </row>
    <row r="50" spans="1:13">
      <c r="A50" s="1" t="s">
        <v>45</v>
      </c>
      <c r="B50" s="2"/>
      <c r="G50" s="7">
        <v>0.2</v>
      </c>
      <c r="H50" s="7">
        <v>0.2</v>
      </c>
      <c r="I50" s="7">
        <v>0.2</v>
      </c>
      <c r="J50" s="7">
        <v>0.2</v>
      </c>
      <c r="K50" s="7">
        <v>0.2</v>
      </c>
      <c r="L50" s="7">
        <v>0.2</v>
      </c>
      <c r="M50" s="2"/>
    </row>
    <row r="51" spans="1:13">
      <c r="A51" s="1" t="s">
        <v>46</v>
      </c>
      <c r="B51" s="3"/>
      <c r="C51" s="5">
        <v>0.8</v>
      </c>
    </row>
    <row r="52" spans="1:13">
      <c r="A52" s="3"/>
      <c r="B52" s="3"/>
      <c r="C52" s="3"/>
    </row>
    <row r="53" spans="1:13">
      <c r="A53" s="1" t="s">
        <v>47</v>
      </c>
      <c r="B53" s="3"/>
      <c r="C53" s="5">
        <v>0.1</v>
      </c>
    </row>
    <row r="54" spans="1:13">
      <c r="A54" s="3"/>
      <c r="B54" s="3"/>
      <c r="C54" s="3"/>
    </row>
    <row r="55" spans="1:13">
      <c r="A55" s="1" t="s">
        <v>48</v>
      </c>
      <c r="B55" s="3"/>
      <c r="C55" s="5">
        <v>0.2</v>
      </c>
    </row>
    <row r="56" spans="1:13">
      <c r="A56" s="3"/>
      <c r="B56" s="3"/>
      <c r="C56" s="1"/>
    </row>
    <row r="57" spans="1:13">
      <c r="A57" s="1" t="s">
        <v>49</v>
      </c>
      <c r="B57" s="3"/>
      <c r="C57" s="5">
        <v>0.2</v>
      </c>
    </row>
    <row r="71" spans="1:28">
      <c r="B71" s="40" t="s">
        <v>0</v>
      </c>
      <c r="C71" s="40" t="s">
        <v>1</v>
      </c>
      <c r="D71" s="40" t="s">
        <v>2</v>
      </c>
      <c r="E71" s="40" t="s">
        <v>3</v>
      </c>
      <c r="F71" s="40" t="s">
        <v>4</v>
      </c>
      <c r="G71" s="40" t="s">
        <v>5</v>
      </c>
    </row>
    <row r="72" spans="1:28">
      <c r="A72" s="41" t="s">
        <v>50</v>
      </c>
      <c r="B72" s="42">
        <f t="shared" ref="B72:G72" si="20">G14</f>
        <v>2808500</v>
      </c>
      <c r="C72" s="42">
        <f t="shared" ca="1" si="20"/>
        <v>4281263.1578947362</v>
      </c>
      <c r="D72" s="42">
        <f t="shared" ca="1" si="20"/>
        <v>6530069.2520775618</v>
      </c>
      <c r="E72" s="42">
        <f t="shared" ca="1" si="20"/>
        <v>9962292.7394663952</v>
      </c>
      <c r="F72" s="42">
        <f t="shared" ca="1" si="20"/>
        <v>15200010.828799658</v>
      </c>
      <c r="G72" s="42">
        <f t="shared" ca="1" si="20"/>
        <v>23194256.23111536</v>
      </c>
    </row>
    <row r="73" spans="1:28">
      <c r="A73" s="41" t="s">
        <v>51</v>
      </c>
      <c r="B73" s="43">
        <f t="shared" ref="B73:G73" si="21">G21</f>
        <v>1215000</v>
      </c>
      <c r="C73" s="43">
        <f t="shared" ca="1" si="21"/>
        <v>2982315.7894736836</v>
      </c>
      <c r="D73" s="43">
        <f t="shared" ca="1" si="21"/>
        <v>3913567.3130193907</v>
      </c>
      <c r="E73" s="43">
        <f t="shared" ca="1" si="21"/>
        <v>5333668.1848665997</v>
      </c>
      <c r="F73" s="43">
        <f t="shared" ca="1" si="21"/>
        <v>7500261.7071999144</v>
      </c>
      <c r="G73" s="43">
        <f t="shared" ca="1" si="21"/>
        <v>10808094.482778842</v>
      </c>
    </row>
    <row r="74" spans="1:28">
      <c r="A74" s="17" t="s">
        <v>28</v>
      </c>
      <c r="B74" s="43">
        <f t="shared" ref="B74:G74" si="22">G24</f>
        <v>708000</v>
      </c>
      <c r="C74" s="43">
        <f t="shared" si="22"/>
        <v>1572999.9999999998</v>
      </c>
      <c r="D74" s="43">
        <f t="shared" ca="1" si="22"/>
        <v>3049200</v>
      </c>
      <c r="E74" s="43">
        <f t="shared" ca="1" si="22"/>
        <v>5297380</v>
      </c>
      <c r="F74" s="43">
        <f t="shared" ca="1" si="22"/>
        <v>8726036.0000000019</v>
      </c>
      <c r="G74" s="43">
        <f t="shared" ca="1" si="22"/>
        <v>13963121.700000007</v>
      </c>
    </row>
    <row r="75" spans="1:28">
      <c r="A75" s="44" t="s">
        <v>52</v>
      </c>
      <c r="B75" s="46">
        <f t="shared" ref="B75:G75" si="23">G28 - G26</f>
        <v>-788583.33333333302</v>
      </c>
      <c r="C75" s="46">
        <f t="shared" ca="1" si="23"/>
        <v>-950745.61403508484</v>
      </c>
      <c r="D75" s="46">
        <f t="shared" ca="1" si="23"/>
        <v>1756812.5577100646</v>
      </c>
      <c r="E75" s="46">
        <f t="shared" ca="1" si="23"/>
        <v>5900338.6693881489</v>
      </c>
      <c r="F75" s="46">
        <f t="shared" ca="1" si="23"/>
        <v>12228488.494665734</v>
      </c>
      <c r="G75" s="46">
        <f t="shared" ca="1" si="23"/>
        <v>21877915.063437417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</row>
    <row r="77" spans="1:28">
      <c r="A77" s="52" t="s">
        <v>54</v>
      </c>
      <c r="B77" s="54">
        <f t="shared" ref="B77:G77" si="24">MAX(0,(B75*20))</f>
        <v>0</v>
      </c>
      <c r="C77" s="54">
        <f t="shared" ca="1" si="24"/>
        <v>0</v>
      </c>
      <c r="D77" s="54">
        <f t="shared" ca="1" si="24"/>
        <v>35136251.154201292</v>
      </c>
      <c r="E77" s="54">
        <f t="shared" ca="1" si="24"/>
        <v>118006773.38776298</v>
      </c>
      <c r="F77" s="54">
        <f t="shared" ca="1" si="24"/>
        <v>244569769.89331469</v>
      </c>
      <c r="G77" s="54">
        <f t="shared" ca="1" si="24"/>
        <v>437558301.26874834</v>
      </c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</row>
    <row r="81" spans="1:1">
      <c r="A81" s="18"/>
    </row>
    <row r="83" spans="1:1">
      <c r="A83" s="18"/>
    </row>
  </sheetData>
  <pageMargins left="0.7" right="0.7" top="0.75" bottom="0.75" header="0.3" footer="0.3"/>
  <drawing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B83"/>
  <sheetViews>
    <sheetView topLeftCell="A40" workbookViewId="0"/>
  </sheetViews>
  <sheetFormatPr defaultColWidth="14.42578125" defaultRowHeight="15.75" customHeight="1"/>
  <cols>
    <col min="1" max="1" width="28.140625" customWidth="1"/>
  </cols>
  <sheetData>
    <row r="1" spans="1:28">
      <c r="A1" s="1"/>
      <c r="B1" s="3"/>
      <c r="C1" s="1"/>
      <c r="D1" s="1"/>
      <c r="E1" s="3"/>
      <c r="F1" s="3"/>
      <c r="G1" s="2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</row>
    <row r="2" spans="1:28">
      <c r="A2" s="1" t="s">
        <v>6</v>
      </c>
      <c r="B2" s="3"/>
      <c r="C2" s="1" t="s">
        <v>7</v>
      </c>
      <c r="D2" s="1" t="s">
        <v>8</v>
      </c>
      <c r="E2" s="3"/>
      <c r="F2" s="1" t="s">
        <v>9</v>
      </c>
      <c r="G2" s="2">
        <v>1</v>
      </c>
      <c r="H2" s="2">
        <v>2</v>
      </c>
      <c r="I2" s="2">
        <v>3</v>
      </c>
      <c r="J2" s="2">
        <v>4</v>
      </c>
      <c r="K2" s="2">
        <v>5</v>
      </c>
      <c r="L2" s="2">
        <v>6</v>
      </c>
    </row>
    <row r="3" spans="1:28">
      <c r="A3" s="3"/>
      <c r="B3" s="3"/>
      <c r="C3" s="3"/>
      <c r="D3" s="3"/>
      <c r="E3" s="3"/>
      <c r="F3" s="3"/>
    </row>
    <row r="4" spans="1:28">
      <c r="A4" s="1" t="s">
        <v>10</v>
      </c>
      <c r="B4" s="4">
        <v>250000</v>
      </c>
      <c r="C4" s="5">
        <v>1.3</v>
      </c>
      <c r="D4" s="1">
        <v>1</v>
      </c>
      <c r="E4" s="3"/>
      <c r="F4" s="6">
        <f t="shared" ref="F4:F13" si="0">B4*C4*D4</f>
        <v>325000</v>
      </c>
    </row>
    <row r="5" spans="1:28">
      <c r="A5" s="1" t="s">
        <v>11</v>
      </c>
      <c r="B5" s="4">
        <v>250000</v>
      </c>
      <c r="C5" s="5">
        <v>1.3</v>
      </c>
      <c r="D5" s="1">
        <v>1</v>
      </c>
      <c r="E5" s="3"/>
      <c r="F5" s="6">
        <f t="shared" si="0"/>
        <v>325000</v>
      </c>
    </row>
    <row r="6" spans="1:28">
      <c r="A6" s="1" t="s">
        <v>12</v>
      </c>
      <c r="B6" s="4">
        <v>250000</v>
      </c>
      <c r="C6" s="5">
        <v>1.3</v>
      </c>
      <c r="D6" s="1">
        <v>1</v>
      </c>
      <c r="E6" s="3"/>
      <c r="F6" s="6">
        <f t="shared" si="0"/>
        <v>325000</v>
      </c>
    </row>
    <row r="7" spans="1:28">
      <c r="A7" s="1" t="s">
        <v>13</v>
      </c>
      <c r="B7" s="4">
        <v>70000</v>
      </c>
      <c r="C7" s="5">
        <v>1.3</v>
      </c>
      <c r="D7" s="1">
        <v>1</v>
      </c>
      <c r="E7" s="3"/>
      <c r="F7" s="6">
        <f t="shared" si="0"/>
        <v>91000</v>
      </c>
    </row>
    <row r="8" spans="1:28">
      <c r="A8" s="1" t="s">
        <v>14</v>
      </c>
      <c r="B8" s="4">
        <v>100000</v>
      </c>
      <c r="C8" s="5">
        <v>1.3</v>
      </c>
      <c r="D8" s="1">
        <v>1</v>
      </c>
      <c r="E8" s="3"/>
      <c r="F8" s="6">
        <f t="shared" si="0"/>
        <v>130000</v>
      </c>
    </row>
    <row r="9" spans="1:28">
      <c r="A9" s="1" t="s">
        <v>15</v>
      </c>
      <c r="B9" s="4">
        <v>400000</v>
      </c>
      <c r="C9" s="5">
        <v>1</v>
      </c>
      <c r="D9" s="1">
        <v>1</v>
      </c>
      <c r="E9" s="3"/>
      <c r="F9" s="6">
        <f t="shared" si="0"/>
        <v>400000</v>
      </c>
    </row>
    <row r="10" spans="1:28">
      <c r="A10" s="1" t="s">
        <v>16</v>
      </c>
      <c r="B10" s="4">
        <v>300000</v>
      </c>
      <c r="C10" s="5">
        <v>1</v>
      </c>
      <c r="D10" s="1">
        <v>1</v>
      </c>
      <c r="E10" s="3"/>
      <c r="F10" s="6">
        <f t="shared" si="0"/>
        <v>300000</v>
      </c>
    </row>
    <row r="11" spans="1:28">
      <c r="A11" s="1"/>
      <c r="B11" s="3"/>
      <c r="C11" s="3"/>
      <c r="D11" s="3"/>
      <c r="E11" s="3"/>
      <c r="F11" s="3">
        <f t="shared" si="0"/>
        <v>0</v>
      </c>
    </row>
    <row r="12" spans="1:28">
      <c r="A12" s="1" t="s">
        <v>17</v>
      </c>
      <c r="B12" s="4">
        <v>125000</v>
      </c>
      <c r="C12" s="5">
        <v>1.3</v>
      </c>
      <c r="D12" s="1">
        <v>5</v>
      </c>
      <c r="E12" s="3"/>
      <c r="F12" s="6">
        <f t="shared" si="0"/>
        <v>812500</v>
      </c>
    </row>
    <row r="13" spans="1:28">
      <c r="A13" s="1" t="s">
        <v>18</v>
      </c>
      <c r="B13" s="4">
        <v>100000</v>
      </c>
      <c r="C13" s="7">
        <v>1</v>
      </c>
      <c r="D13" s="1">
        <v>1</v>
      </c>
      <c r="E13" s="3"/>
      <c r="F13" s="6">
        <f t="shared" si="0"/>
        <v>100000</v>
      </c>
    </row>
    <row r="14" spans="1:28">
      <c r="A14" s="8" t="s">
        <v>19</v>
      </c>
      <c r="B14" s="9"/>
      <c r="C14" s="9"/>
      <c r="D14" s="9"/>
      <c r="E14" s="9"/>
      <c r="F14" s="9"/>
      <c r="G14" s="10">
        <f>SUM(F4:F13)</f>
        <v>2808500</v>
      </c>
      <c r="H14" s="10">
        <f t="shared" ref="H14:L14" ca="1" si="1">G14 + H29*$C$55</f>
        <v>5471326.0869565215</v>
      </c>
      <c r="I14" s="10">
        <f t="shared" ca="1" si="1"/>
        <v>10445946.124763705</v>
      </c>
      <c r="J14" s="10">
        <f t="shared" ca="1" si="1"/>
        <v>19746187.918139227</v>
      </c>
      <c r="K14" s="10">
        <f t="shared" ca="1" si="1"/>
        <v>37135095.70863454</v>
      </c>
      <c r="L14" s="10">
        <f t="shared" ca="1" si="1"/>
        <v>69641063.886301741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</row>
    <row r="15" spans="1:28">
      <c r="A15" s="1" t="s">
        <v>20</v>
      </c>
      <c r="B15" s="4">
        <v>150000</v>
      </c>
      <c r="C15" s="5">
        <v>1.3</v>
      </c>
      <c r="D15" s="1">
        <v>2</v>
      </c>
      <c r="E15" s="3"/>
      <c r="F15" s="6">
        <f t="shared" ref="F15:F16" si="2">B15*C15*D15</f>
        <v>390000</v>
      </c>
    </row>
    <row r="16" spans="1:28">
      <c r="A16" s="1" t="s">
        <v>21</v>
      </c>
      <c r="B16" s="4">
        <v>100000</v>
      </c>
      <c r="C16" s="5">
        <v>1</v>
      </c>
      <c r="D16" s="1">
        <v>1</v>
      </c>
      <c r="E16" s="3"/>
      <c r="F16" s="6">
        <f t="shared" si="2"/>
        <v>100000</v>
      </c>
    </row>
    <row r="17" spans="1:28">
      <c r="A17" s="3"/>
      <c r="B17" s="3"/>
      <c r="C17" s="3"/>
      <c r="D17" s="3"/>
      <c r="E17" s="3"/>
      <c r="F17" s="3"/>
    </row>
    <row r="18" spans="1:28">
      <c r="A18" s="1" t="s">
        <v>22</v>
      </c>
      <c r="B18" s="4">
        <v>125000</v>
      </c>
      <c r="C18" s="5">
        <v>1.3</v>
      </c>
      <c r="D18" s="1">
        <v>2</v>
      </c>
      <c r="E18" s="3"/>
      <c r="F18" s="6">
        <f t="shared" ref="F18:F20" si="3">B18*C18*D18</f>
        <v>325000</v>
      </c>
    </row>
    <row r="19" spans="1:28">
      <c r="A19" s="1" t="s">
        <v>23</v>
      </c>
      <c r="B19" s="4">
        <v>300000</v>
      </c>
      <c r="C19" s="5">
        <v>1</v>
      </c>
      <c r="D19" s="1">
        <v>1</v>
      </c>
      <c r="E19" s="3"/>
      <c r="F19" s="6">
        <f t="shared" si="3"/>
        <v>300000</v>
      </c>
    </row>
    <row r="20" spans="1:28">
      <c r="A20" s="1" t="s">
        <v>24</v>
      </c>
      <c r="B20" s="4">
        <v>100000</v>
      </c>
      <c r="C20" s="5">
        <v>1</v>
      </c>
      <c r="D20" s="1">
        <v>1</v>
      </c>
      <c r="E20" s="3"/>
      <c r="F20" s="6">
        <f t="shared" si="3"/>
        <v>100000</v>
      </c>
    </row>
    <row r="21" spans="1:28">
      <c r="A21" s="12" t="s">
        <v>25</v>
      </c>
      <c r="B21" s="13"/>
      <c r="C21" s="13"/>
      <c r="D21" s="13"/>
      <c r="E21" s="13"/>
      <c r="F21" s="13"/>
      <c r="G21" s="14">
        <f>SUM(F15:F20)</f>
        <v>1215000</v>
      </c>
      <c r="H21" s="15">
        <f t="shared" ref="H21:L21" ca="1" si="4">$G$21 + H29*($C$57)*(1+H50)</f>
        <v>4410391.3043478262</v>
      </c>
      <c r="I21" s="15">
        <f t="shared" ca="1" si="4"/>
        <v>7184544.0453686202</v>
      </c>
      <c r="J21" s="15">
        <f t="shared" ca="1" si="4"/>
        <v>12375290.152050626</v>
      </c>
      <c r="K21" s="15">
        <f t="shared" ca="1" si="4"/>
        <v>22081689.348594379</v>
      </c>
      <c r="L21" s="15">
        <f t="shared" ca="1" si="4"/>
        <v>40222161.813200638</v>
      </c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spans="1:28">
      <c r="A22" s="1" t="s">
        <v>26</v>
      </c>
      <c r="B22" s="4">
        <v>500000</v>
      </c>
      <c r="C22" s="5">
        <v>1</v>
      </c>
      <c r="D22" s="1">
        <v>1</v>
      </c>
      <c r="E22" s="3"/>
      <c r="F22" s="6">
        <f t="shared" ref="F22:F23" si="5">B22*C22*D22</f>
        <v>500000</v>
      </c>
    </row>
    <row r="23" spans="1:28">
      <c r="A23" s="1" t="s">
        <v>27</v>
      </c>
      <c r="B23" s="4">
        <v>80000</v>
      </c>
      <c r="C23" s="5">
        <v>1.3</v>
      </c>
      <c r="D23" s="1">
        <v>2</v>
      </c>
      <c r="E23" s="3"/>
      <c r="F23" s="6">
        <f t="shared" si="5"/>
        <v>208000</v>
      </c>
    </row>
    <row r="24" spans="1:28">
      <c r="A24" s="8" t="s">
        <v>28</v>
      </c>
      <c r="B24" s="9"/>
      <c r="C24" s="9"/>
      <c r="D24" s="9"/>
      <c r="E24" s="9"/>
      <c r="F24" s="9"/>
      <c r="G24" s="15">
        <f>SUM(F22:F23)</f>
        <v>708000</v>
      </c>
      <c r="H24" s="15">
        <f t="shared" ref="H24:L24" si="6">H36*H33*(1 - $C51)</f>
        <v>2101000</v>
      </c>
      <c r="I24" s="15">
        <f t="shared" ca="1" si="6"/>
        <v>4755300</v>
      </c>
      <c r="J24" s="15">
        <f t="shared" ca="1" si="6"/>
        <v>9729610</v>
      </c>
      <c r="K24" s="15">
        <f t="shared" ca="1" si="6"/>
        <v>19033300.000000004</v>
      </c>
      <c r="L24" s="15">
        <f t="shared" ca="1" si="6"/>
        <v>36413631.100000009</v>
      </c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</row>
    <row r="26" spans="1:28">
      <c r="A26" s="18" t="s">
        <v>29</v>
      </c>
      <c r="B26" s="19"/>
      <c r="C26" s="19"/>
      <c r="D26" s="19"/>
      <c r="E26" s="19"/>
      <c r="F26" s="19"/>
      <c r="G26" s="20">
        <f t="shared" ref="G26:L26" si="7">SUM(G14:G24)</f>
        <v>4731500</v>
      </c>
      <c r="H26" s="20">
        <f t="shared" ca="1" si="7"/>
        <v>11982717.391304348</v>
      </c>
      <c r="I26" s="20">
        <f t="shared" ca="1" si="7"/>
        <v>22385790.170132324</v>
      </c>
      <c r="J26" s="20">
        <f t="shared" ca="1" si="7"/>
        <v>41851088.070189849</v>
      </c>
      <c r="K26" s="20">
        <f t="shared" ca="1" si="7"/>
        <v>78250085.057228923</v>
      </c>
      <c r="L26" s="20">
        <f t="shared" ca="1" si="7"/>
        <v>146276856.79950237</v>
      </c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</row>
    <row r="28" spans="1:28">
      <c r="A28" s="21" t="s">
        <v>30</v>
      </c>
      <c r="B28" s="22"/>
      <c r="C28" s="22"/>
      <c r="D28" s="22"/>
      <c r="E28" s="22"/>
      <c r="F28" s="21">
        <v>0</v>
      </c>
      <c r="G28" s="23">
        <f>F28+G29</f>
        <v>5257222.222222222</v>
      </c>
      <c r="H28" s="24">
        <f t="shared" ref="H28:L28" si="8">G28 + G29</f>
        <v>10514444.444444444</v>
      </c>
      <c r="I28" s="24">
        <f t="shared" ca="1" si="8"/>
        <v>23828574.87922705</v>
      </c>
      <c r="J28" s="24">
        <f t="shared" ca="1" si="8"/>
        <v>48701675.068262964</v>
      </c>
      <c r="K28" s="24">
        <f t="shared" ca="1" si="8"/>
        <v>95202884.035140574</v>
      </c>
      <c r="L28" s="24">
        <f t="shared" ca="1" si="8"/>
        <v>182147422.98761714</v>
      </c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</row>
    <row r="29" spans="1:28">
      <c r="A29" s="25" t="s">
        <v>31</v>
      </c>
      <c r="B29" s="26"/>
      <c r="C29" s="26"/>
      <c r="D29" s="26"/>
      <c r="E29" s="26"/>
      <c r="F29" s="26"/>
      <c r="G29" s="27">
        <f t="shared" ref="G29:L29" si="9">G26/G49</f>
        <v>5257222.222222222</v>
      </c>
      <c r="H29" s="27">
        <f t="shared" ca="1" si="9"/>
        <v>13314130.434782607</v>
      </c>
      <c r="I29" s="27">
        <f t="shared" ca="1" si="9"/>
        <v>24873100.189035915</v>
      </c>
      <c r="J29" s="27">
        <f t="shared" ca="1" si="9"/>
        <v>46501208.966877609</v>
      </c>
      <c r="K29" s="27">
        <f t="shared" ca="1" si="9"/>
        <v>86944538.952476576</v>
      </c>
      <c r="L29" s="27">
        <f t="shared" ca="1" si="9"/>
        <v>162529840.88833597</v>
      </c>
    </row>
    <row r="30" spans="1:28">
      <c r="A30" s="2" t="s">
        <v>32</v>
      </c>
      <c r="G30" s="28">
        <f t="shared" ref="G30:L30" si="10">G26/G29</f>
        <v>0.9</v>
      </c>
      <c r="H30" s="28">
        <f t="shared" ca="1" si="10"/>
        <v>0.9</v>
      </c>
      <c r="I30" s="28">
        <f t="shared" ca="1" si="10"/>
        <v>0.9</v>
      </c>
      <c r="J30" s="28">
        <f t="shared" ca="1" si="10"/>
        <v>0.9</v>
      </c>
      <c r="K30" s="28">
        <f t="shared" ca="1" si="10"/>
        <v>0.9</v>
      </c>
      <c r="L30" s="28">
        <f t="shared" ca="1" si="10"/>
        <v>0.9</v>
      </c>
    </row>
    <row r="32" spans="1:28">
      <c r="A32" s="2"/>
    </row>
    <row r="33" spans="1:28">
      <c r="A33" s="2" t="s">
        <v>33</v>
      </c>
      <c r="G33" s="55">
        <v>50000</v>
      </c>
      <c r="H33" s="29">
        <f t="shared" ref="H33:L33" si="11">G33*(1+$C$53)</f>
        <v>55000.000000000007</v>
      </c>
      <c r="I33" s="29">
        <f t="shared" si="11"/>
        <v>60500.000000000015</v>
      </c>
      <c r="J33" s="29">
        <f t="shared" si="11"/>
        <v>66550.000000000015</v>
      </c>
      <c r="K33" s="29">
        <f t="shared" si="11"/>
        <v>73205.000000000029</v>
      </c>
      <c r="L33" s="29">
        <f t="shared" si="11"/>
        <v>80525.500000000044</v>
      </c>
    </row>
    <row r="34" spans="1:28">
      <c r="B34" s="17"/>
      <c r="C34" s="11"/>
      <c r="D34" s="11"/>
      <c r="E34" s="11"/>
      <c r="F34" s="11"/>
      <c r="G34" s="11"/>
      <c r="H34" s="10"/>
      <c r="I34" s="10"/>
      <c r="J34" s="10"/>
      <c r="K34" s="10"/>
      <c r="L34" s="10"/>
      <c r="M34" s="10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</row>
    <row r="36" spans="1:28">
      <c r="A36" s="30" t="s">
        <v>34</v>
      </c>
      <c r="B36" s="30"/>
      <c r="C36" s="30"/>
      <c r="D36" s="31"/>
      <c r="E36" s="30"/>
      <c r="F36" s="30"/>
      <c r="G36" s="32">
        <f t="shared" ref="G36:L36" si="12">INT(G28/G33)</f>
        <v>105</v>
      </c>
      <c r="H36" s="32">
        <f t="shared" si="12"/>
        <v>191</v>
      </c>
      <c r="I36" s="32">
        <f t="shared" ca="1" si="12"/>
        <v>393</v>
      </c>
      <c r="J36" s="32">
        <f t="shared" ca="1" si="12"/>
        <v>731</v>
      </c>
      <c r="K36" s="32">
        <f t="shared" ca="1" si="12"/>
        <v>1300</v>
      </c>
      <c r="L36" s="32">
        <f t="shared" ca="1" si="12"/>
        <v>2261</v>
      </c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8">
      <c r="A37" s="2" t="s">
        <v>35</v>
      </c>
      <c r="B37" s="2"/>
      <c r="G37" s="28">
        <f>INT(G28/G33*(1+G50))</f>
        <v>126</v>
      </c>
      <c r="H37" s="28">
        <f t="shared" ref="H37:L37" ca="1" si="13">INT(((H29/H33)) * (1+H50))</f>
        <v>290</v>
      </c>
      <c r="I37" s="28">
        <f t="shared" ca="1" si="13"/>
        <v>493</v>
      </c>
      <c r="J37" s="28">
        <f t="shared" ca="1" si="13"/>
        <v>838</v>
      </c>
      <c r="K37" s="28">
        <f t="shared" ca="1" si="13"/>
        <v>1425</v>
      </c>
      <c r="L37" s="28">
        <f t="shared" ca="1" si="13"/>
        <v>2422</v>
      </c>
      <c r="M37" s="29"/>
    </row>
    <row r="38" spans="1:28">
      <c r="C38" s="33"/>
    </row>
    <row r="39" spans="1:28">
      <c r="A39" s="2" t="s">
        <v>36</v>
      </c>
      <c r="G39" s="29">
        <f t="shared" ref="G39:L39" si="14">G33*$C$57</f>
        <v>10000</v>
      </c>
      <c r="H39" s="29">
        <f t="shared" si="14"/>
        <v>11000.000000000002</v>
      </c>
      <c r="I39" s="29">
        <f t="shared" si="14"/>
        <v>12100.000000000004</v>
      </c>
      <c r="J39" s="29">
        <f t="shared" si="14"/>
        <v>13310.000000000004</v>
      </c>
      <c r="K39" s="29">
        <f t="shared" si="14"/>
        <v>14641.000000000007</v>
      </c>
      <c r="L39" s="29">
        <f t="shared" si="14"/>
        <v>16105.100000000009</v>
      </c>
    </row>
    <row r="40" spans="1:28">
      <c r="A40" s="2" t="s">
        <v>37</v>
      </c>
      <c r="G40" s="34">
        <f t="shared" ref="G40:L40" si="15">G21/G37</f>
        <v>9642.8571428571431</v>
      </c>
      <c r="H40" s="29">
        <f t="shared" ca="1" si="15"/>
        <v>15208.24587706147</v>
      </c>
      <c r="I40" s="29">
        <f t="shared" ca="1" si="15"/>
        <v>14573.111653891725</v>
      </c>
      <c r="J40" s="29">
        <f t="shared" ca="1" si="15"/>
        <v>14767.649346122465</v>
      </c>
      <c r="K40" s="29">
        <f t="shared" ca="1" si="15"/>
        <v>15495.922349890792</v>
      </c>
      <c r="L40" s="29">
        <f t="shared" ca="1" si="15"/>
        <v>16607.003225929249</v>
      </c>
    </row>
    <row r="41" spans="1:28">
      <c r="A41" s="2" t="s">
        <v>39</v>
      </c>
      <c r="G41" s="35">
        <f t="shared" ref="G41:L41" si="16">G21/G28</f>
        <v>0.23111064144563037</v>
      </c>
      <c r="H41" s="35">
        <f t="shared" ca="1" si="16"/>
        <v>0.41946023184117548</v>
      </c>
      <c r="I41" s="35">
        <f t="shared" ca="1" si="16"/>
        <v>0.30150959852961512</v>
      </c>
      <c r="J41" s="35">
        <f t="shared" ca="1" si="16"/>
        <v>0.25410399405574313</v>
      </c>
      <c r="K41" s="35">
        <f t="shared" ca="1" si="16"/>
        <v>0.23194349175854537</v>
      </c>
      <c r="L41" s="35">
        <f t="shared" ca="1" si="16"/>
        <v>0.22082201962272641</v>
      </c>
    </row>
    <row r="43" spans="1:28">
      <c r="A43" s="2" t="s">
        <v>40</v>
      </c>
      <c r="G43" s="36">
        <f t="shared" ref="G43:L43" si="17">(G14/G28)</f>
        <v>0.53421747860086655</v>
      </c>
      <c r="H43" s="36">
        <f t="shared" ca="1" si="17"/>
        <v>0.52036283189906685</v>
      </c>
      <c r="I43" s="36">
        <f t="shared" ca="1" si="17"/>
        <v>0.43837897053046715</v>
      </c>
      <c r="J43" s="36">
        <f t="shared" ca="1" si="17"/>
        <v>0.4054519252256083</v>
      </c>
      <c r="K43" s="36">
        <f t="shared" ca="1" si="17"/>
        <v>0.39006271800471415</v>
      </c>
      <c r="L43" s="36">
        <f t="shared" ca="1" si="17"/>
        <v>0.38233351174579133</v>
      </c>
    </row>
    <row r="45" spans="1:28">
      <c r="A45" s="2" t="s">
        <v>41</v>
      </c>
      <c r="G45" s="35">
        <f t="shared" ref="G45:L45" si="18">(G28-G24)/G28</f>
        <v>0.86532812004649684</v>
      </c>
      <c r="H45" s="35">
        <f t="shared" si="18"/>
        <v>0.80017964704639122</v>
      </c>
      <c r="I45" s="35">
        <f t="shared" ca="1" si="18"/>
        <v>0.8004370792587554</v>
      </c>
      <c r="J45" s="35">
        <f t="shared" ca="1" si="18"/>
        <v>0.80022021857846903</v>
      </c>
      <c r="K45" s="35">
        <f t="shared" ca="1" si="18"/>
        <v>0.80007643473306367</v>
      </c>
      <c r="L45" s="35">
        <f t="shared" ca="1" si="18"/>
        <v>0.80008703662815195</v>
      </c>
    </row>
    <row r="47" spans="1:28">
      <c r="A47" s="2" t="s">
        <v>42</v>
      </c>
      <c r="G47" s="35">
        <f t="shared" ref="G47:L47" si="19">(G28-G26) /G28</f>
        <v>9.9999999999999964E-2</v>
      </c>
      <c r="H47" s="35">
        <f t="shared" ca="1" si="19"/>
        <v>-0.13964341669385114</v>
      </c>
      <c r="I47" s="35">
        <f t="shared" ca="1" si="19"/>
        <v>6.054851019867314E-2</v>
      </c>
      <c r="J47" s="35">
        <f t="shared" ca="1" si="19"/>
        <v>0.14066429929711768</v>
      </c>
      <c r="K47" s="35">
        <f t="shared" ca="1" si="19"/>
        <v>0.17807022496980407</v>
      </c>
      <c r="L47" s="35">
        <f t="shared" ca="1" si="19"/>
        <v>0.19693150525963432</v>
      </c>
    </row>
    <row r="48" spans="1:28">
      <c r="A48" s="2"/>
      <c r="G48" s="35"/>
      <c r="H48" s="35"/>
      <c r="I48" s="35"/>
      <c r="J48" s="35"/>
      <c r="K48" s="35"/>
      <c r="L48" s="35"/>
    </row>
    <row r="49" spans="1:13">
      <c r="A49" s="1" t="s">
        <v>44</v>
      </c>
      <c r="B49" s="39"/>
      <c r="C49" s="39"/>
      <c r="D49" s="39"/>
      <c r="E49" s="39"/>
      <c r="F49" s="39"/>
      <c r="G49" s="45">
        <v>0.9</v>
      </c>
      <c r="H49" s="45">
        <v>0.9</v>
      </c>
      <c r="I49" s="45">
        <v>0.9</v>
      </c>
      <c r="J49" s="45">
        <v>0.9</v>
      </c>
      <c r="K49" s="45">
        <v>0.9</v>
      </c>
      <c r="L49" s="45">
        <v>0.9</v>
      </c>
    </row>
    <row r="50" spans="1:13">
      <c r="A50" s="1" t="s">
        <v>45</v>
      </c>
      <c r="B50" s="2"/>
      <c r="G50" s="7">
        <v>0.2</v>
      </c>
      <c r="H50" s="7">
        <v>0.2</v>
      </c>
      <c r="I50" s="7">
        <v>0.2</v>
      </c>
      <c r="J50" s="7">
        <v>0.2</v>
      </c>
      <c r="K50" s="7">
        <v>0.2</v>
      </c>
      <c r="L50" s="7">
        <v>0.2</v>
      </c>
      <c r="M50" s="2"/>
    </row>
    <row r="51" spans="1:13">
      <c r="A51" s="1" t="s">
        <v>46</v>
      </c>
      <c r="B51" s="3"/>
      <c r="C51" s="48">
        <v>0.8</v>
      </c>
    </row>
    <row r="52" spans="1:13">
      <c r="A52" s="3"/>
      <c r="B52" s="3"/>
      <c r="C52" s="3"/>
    </row>
    <row r="53" spans="1:13">
      <c r="A53" s="1" t="s">
        <v>47</v>
      </c>
      <c r="B53" s="3"/>
      <c r="C53" s="5">
        <v>0.1</v>
      </c>
    </row>
    <row r="54" spans="1:13">
      <c r="A54" s="3"/>
      <c r="B54" s="3"/>
      <c r="C54" s="3"/>
    </row>
    <row r="55" spans="1:13">
      <c r="A55" s="1" t="s">
        <v>48</v>
      </c>
      <c r="B55" s="3"/>
      <c r="C55" s="48">
        <v>0.2</v>
      </c>
    </row>
    <row r="56" spans="1:13">
      <c r="A56" s="3"/>
      <c r="B56" s="3"/>
      <c r="C56" s="1"/>
    </row>
    <row r="57" spans="1:13">
      <c r="A57" s="1" t="s">
        <v>53</v>
      </c>
      <c r="B57" s="3"/>
      <c r="C57" s="5">
        <v>0.2</v>
      </c>
    </row>
    <row r="70" spans="1:28">
      <c r="B70" s="40" t="s">
        <v>0</v>
      </c>
      <c r="C70" s="40" t="s">
        <v>1</v>
      </c>
      <c r="D70" s="40" t="s">
        <v>2</v>
      </c>
      <c r="E70" s="40" t="s">
        <v>3</v>
      </c>
      <c r="F70" s="40" t="s">
        <v>4</v>
      </c>
      <c r="G70" s="40" t="s">
        <v>5</v>
      </c>
    </row>
    <row r="71" spans="1:28">
      <c r="A71" s="41" t="s">
        <v>50</v>
      </c>
      <c r="B71" s="42">
        <f t="shared" ref="B71:G71" si="20">G14</f>
        <v>2808500</v>
      </c>
      <c r="C71" s="42">
        <f t="shared" ca="1" si="20"/>
        <v>5471326.0869565215</v>
      </c>
      <c r="D71" s="42">
        <f t="shared" ca="1" si="20"/>
        <v>10445946.124763705</v>
      </c>
      <c r="E71" s="42">
        <f t="shared" ca="1" si="20"/>
        <v>19746187.918139227</v>
      </c>
      <c r="F71" s="42">
        <f t="shared" ca="1" si="20"/>
        <v>37135095.70863454</v>
      </c>
      <c r="G71" s="42">
        <f t="shared" ca="1" si="20"/>
        <v>69641063.886301741</v>
      </c>
    </row>
    <row r="72" spans="1:28">
      <c r="A72" s="41" t="s">
        <v>51</v>
      </c>
      <c r="B72" s="43">
        <f t="shared" ref="B72:G72" si="21">G21</f>
        <v>1215000</v>
      </c>
      <c r="C72" s="43">
        <f t="shared" ca="1" si="21"/>
        <v>4410391.3043478262</v>
      </c>
      <c r="D72" s="43">
        <f t="shared" ca="1" si="21"/>
        <v>7184544.0453686202</v>
      </c>
      <c r="E72" s="43">
        <f t="shared" ca="1" si="21"/>
        <v>12375290.152050626</v>
      </c>
      <c r="F72" s="43">
        <f t="shared" ca="1" si="21"/>
        <v>22081689.348594379</v>
      </c>
      <c r="G72" s="43">
        <f t="shared" ca="1" si="21"/>
        <v>40222161.813200638</v>
      </c>
    </row>
    <row r="73" spans="1:28">
      <c r="A73" s="17" t="s">
        <v>28</v>
      </c>
      <c r="B73" s="43">
        <f t="shared" ref="B73:G73" si="22">G24</f>
        <v>708000</v>
      </c>
      <c r="C73" s="43">
        <f t="shared" si="22"/>
        <v>2101000</v>
      </c>
      <c r="D73" s="43">
        <f t="shared" ca="1" si="22"/>
        <v>4755300</v>
      </c>
      <c r="E73" s="43">
        <f t="shared" ca="1" si="22"/>
        <v>9729610</v>
      </c>
      <c r="F73" s="43">
        <f t="shared" ca="1" si="22"/>
        <v>19033300.000000004</v>
      </c>
      <c r="G73" s="43">
        <f t="shared" ca="1" si="22"/>
        <v>36413631.100000009</v>
      </c>
    </row>
    <row r="74" spans="1:28">
      <c r="A74" s="44" t="s">
        <v>52</v>
      </c>
      <c r="B74" s="46">
        <f t="shared" ref="B74:G74" si="23">G28 - G26</f>
        <v>525722.22222222202</v>
      </c>
      <c r="C74" s="46">
        <f t="shared" ca="1" si="23"/>
        <v>-1468272.9468599036</v>
      </c>
      <c r="D74" s="46">
        <f t="shared" ca="1" si="23"/>
        <v>1442784.7090947255</v>
      </c>
      <c r="E74" s="46">
        <f t="shared" ca="1" si="23"/>
        <v>6850586.9980731159</v>
      </c>
      <c r="F74" s="46">
        <f t="shared" ca="1" si="23"/>
        <v>16952798.977911651</v>
      </c>
      <c r="G74" s="46">
        <f t="shared" ca="1" si="23"/>
        <v>35870566.188114762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</row>
    <row r="76" spans="1:28">
      <c r="A76" s="52" t="s">
        <v>54</v>
      </c>
      <c r="B76" s="54">
        <f t="shared" ref="B76:G76" si="24">MAX(0,(B74*20))</f>
        <v>10514444.44444444</v>
      </c>
      <c r="C76" s="54">
        <f t="shared" ca="1" si="24"/>
        <v>0</v>
      </c>
      <c r="D76" s="54">
        <f t="shared" ca="1" si="24"/>
        <v>28855694.181894511</v>
      </c>
      <c r="E76" s="54">
        <f t="shared" ca="1" si="24"/>
        <v>137011739.96146232</v>
      </c>
      <c r="F76" s="54">
        <f t="shared" ca="1" si="24"/>
        <v>339055979.55823302</v>
      </c>
      <c r="G76" s="54">
        <f t="shared" ca="1" si="24"/>
        <v>717411323.76229525</v>
      </c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</row>
    <row r="81" spans="1:1">
      <c r="A81" s="18"/>
    </row>
    <row r="83" spans="1:1">
      <c r="A83" s="18"/>
    </row>
  </sheetData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</vt:lpstr>
      <vt:lpstr>suspect</vt:lpstr>
      <vt:lpstr>good</vt:lpstr>
      <vt:lpstr>great to good</vt:lpstr>
      <vt:lpstr>good to great</vt:lpstr>
      <vt:lpstr>great</vt:lpstr>
      <vt:lpstr>exceptional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aewittma</dc:creator>
  <cp:lastModifiedBy>lgarey</cp:lastModifiedBy>
  <dcterms:created xsi:type="dcterms:W3CDTF">2020-05-12T19:24:47Z</dcterms:created>
  <dcterms:modified xsi:type="dcterms:W3CDTF">2020-05-15T16:30:40Z</dcterms:modified>
</cp:coreProperties>
</file>